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AlgorithmName="SHA-512" workbookHashValue="9nGHMlTykhEZhgCyn6WTE39xrwwfOri80fcCz+Z2x0tTb6FMlXL5NJQ/jU4FWCiZ4X/KijfJT8wP/uWfF8QWjw==" workbookSaltValue="IStl2jF1dBfcrT8gsx4iZw==" workbookSpinCount="100000" lockStructure="1"/>
  <bookViews>
    <workbookView xWindow="5895" yWindow="0" windowWidth="11355" windowHeight="9570" tabRatio="843" firstSheet="2" activeTab="6"/>
  </bookViews>
  <sheets>
    <sheet name="Start!" sheetId="49" r:id="rId1"/>
    <sheet name="Version_History" sheetId="52" r:id="rId2"/>
    <sheet name="Key_Assumptions_&amp;_Inputs" sheetId="33" r:id="rId3"/>
    <sheet name="Admin_&amp;_Transaction_Costs" sheetId="50" r:id="rId4"/>
    <sheet name="Generation_Rates" sheetId="29" r:id="rId5"/>
    <sheet name="Community_Solar_Business_Case" sheetId="4" r:id="rId6"/>
    <sheet name="Dashboard" sheetId="44" r:id="rId7"/>
  </sheets>
  <externalReferences>
    <externalReference r:id="rId8"/>
    <externalReference r:id="rId9"/>
  </externalReferences>
  <definedNames>
    <definedName name="_ftn2" localSheetId="5">Community_Solar_Business_Case!$G$23</definedName>
    <definedName name="_ftnref1" localSheetId="5">#REF!</definedName>
    <definedName name="_ftnref2" localSheetId="5">Community_Solar_Business_Case!#REF!</definedName>
    <definedName name="ActionPivot">[1]MeterPivot!$E$4:$F$12</definedName>
    <definedName name="all_iperl">[1]Manager!$C$8</definedName>
    <definedName name="ANNUAL_DEMAND_C_I_POLY_PHASE">'[2]RATES,LOAD,SALES'!$D$84</definedName>
    <definedName name="ANNUAL_SALES_C_I_OTHER">'[2]RATES,LOAD,SALES'!$D$98</definedName>
    <definedName name="ANNUAL_SALES_C_I_POLY_PHASE">'[2]RATES,LOAD,SALES'!$D$88</definedName>
    <definedName name="ANNUAL_SALES_C_I_SINGLE_PHASE">'[2]RATES,LOAD,SALES'!$D$74</definedName>
    <definedName name="ANNUAL_SALES_RES">'[2]RATES,LOAD,SALES'!$D$59</definedName>
    <definedName name="AS2DocOpenMode" hidden="1">"AS2DocumentEdit"</definedName>
    <definedName name="AS2HasNoAutoHeaderFooter" hidden="1">" "</definedName>
    <definedName name="AS2NamedRange" hidden="1">12</definedName>
    <definedName name="AVG_CO2_EMISSIONS_PER_TON">[2]EVPHEV!$D$38</definedName>
    <definedName name="backhaul_cost">[1]Manager!$I$7</definedName>
    <definedName name="Building_Type" localSheetId="1">#REF!</definedName>
    <definedName name="Building_Type">#REF!</definedName>
    <definedName name="BusinessModels" localSheetId="1">#REF!</definedName>
    <definedName name="BusinessModels">#REF!</definedName>
    <definedName name="CalculatedHours">[2]SYS!$B$54</definedName>
    <definedName name="CapacityFactor">'Key_Assumptions_&amp;_Inputs'!$E$30</definedName>
    <definedName name="Categories">'[2]SYS - Configuration'!$A$13:$A$16</definedName>
    <definedName name="City">'Key_Assumptions_&amp;_Inputs'!$E$16</definedName>
    <definedName name="CommPivot">[1]MeterPivot!$A$4:$B$13</definedName>
    <definedName name="Contingency">[2]SYS!$B$45</definedName>
    <definedName name="ContingencyHours">[2]SYS!$B$55</definedName>
    <definedName name="cost_lg_elec_exg" localSheetId="1">[1]Manager!#REF!</definedName>
    <definedName name="cost_lg_elec_exg">[1]Manager!#REF!</definedName>
    <definedName name="COST_OF_FINANCING">[2]SCENARIO!$C$15</definedName>
    <definedName name="cost_res_elec_exg" localSheetId="1">[1]Manager!#REF!</definedName>
    <definedName name="cost_res_elec_exg">[1]Manager!#REF!</definedName>
    <definedName name="Customer_Credit_Rate" localSheetId="1">#REF!</definedName>
    <definedName name="Customer_Credit_Rate">#REF!</definedName>
    <definedName name="Customer_Payment_Structure" localSheetId="1">#REF!</definedName>
    <definedName name="Customer_Payment_Structure">#REF!</definedName>
    <definedName name="DEFLATION_PERCENTAGE">[2]SCENARIO!$C$14</definedName>
    <definedName name="Demand_Charge_Benefit" localSheetId="1">#REF!</definedName>
    <definedName name="Demand_Charge_Benefit">#REF!</definedName>
    <definedName name="deploy_han">[1]Manager!$C$4</definedName>
    <definedName name="deploy_iperl">[1]Manager!$C$3</definedName>
    <definedName name="deploy_pct">[1]Manager!$I$3</definedName>
    <definedName name="deployment_option">[1]Manager!$L$3</definedName>
    <definedName name="Disciplines">'[2]SYS - Configuration'!$D$12:$D$19</definedName>
    <definedName name="FTEEstimate">[2]SYS!$B$61</definedName>
    <definedName name="GasForm">[1]Lookups!$A$2:$C$29</definedName>
    <definedName name="GHG_EMISSIONS_PER_MWH">[2]DSM!$D$575</definedName>
    <definedName name="HED_COST">[2]DSM!$D$241</definedName>
    <definedName name="Incentive" localSheetId="1">#REF!</definedName>
    <definedName name="Incentive">#REF!</definedName>
    <definedName name="Incentives" localSheetId="1">#REF!</definedName>
    <definedName name="Incentives">#REF!</definedName>
    <definedName name="INFLATION">[2]SCENARIO!$C$13</definedName>
    <definedName name="InverterEfficiency">'Key_Assumptions_&amp;_Inputs'!$E$32</definedName>
    <definedName name="ITC_Percentage" localSheetId="1">#REF!</definedName>
    <definedName name="ITC_Percentage">#REF!</definedName>
    <definedName name="labor_pricing">[1]Pricing!$A$19:$E$26</definedName>
    <definedName name="Losses">'Key_Assumptions_&amp;_Inputs'!$E$31</definedName>
    <definedName name="ManMonthEstimate">[2]SYS!$B$60</definedName>
    <definedName name="mdm">[1]Manager!$I$9</definedName>
    <definedName name="MetersPivot">[1]MeterPivot!$I$4:$J$44</definedName>
    <definedName name="MONTHLY_CI_SINGLE_PHASE_DEMAND">'[2]RATES,LOAD,SALES'!$D$72</definedName>
    <definedName name="MONTHLY_RES_DEMAND">'[2]RATES,LOAD,SALES'!$D$57</definedName>
    <definedName name="NUM_YEARS_TO_FINANCE">'[2]CAPITAL FINANCING'!$D$5</definedName>
    <definedName name="pct_t8_exg" localSheetId="1">[1]Manager!#REF!</definedName>
    <definedName name="pct_t8_exg">[1]Manager!#REF!</definedName>
    <definedName name="Phases">'[2]SYS - Configuration'!$C$12:$C$16</definedName>
    <definedName name="ProcessComplexityRanges">'[2]SYS - Configuration'!$A$1:$B$5</definedName>
    <definedName name="Program_Cost_Bearer" localSheetId="1">#REF!</definedName>
    <definedName name="Program_Cost_Bearer">#REF!</definedName>
    <definedName name="Rate_Structure" localSheetId="1">#REF!</definedName>
    <definedName name="Rate_Structure">#REF!</definedName>
    <definedName name="roots_brackets">[1]Manager!$I$5</definedName>
    <definedName name="roots_regs">[1]Manager!$I$6</definedName>
    <definedName name="SAIDI">[2]DASA!$D$219</definedName>
    <definedName name="sensus_rni_hosting">[1]Manager!$C$5</definedName>
    <definedName name="solver_cvg" localSheetId="6" hidden="1">0.0001</definedName>
    <definedName name="solver_cvg" localSheetId="2" hidden="1">0.0001</definedName>
    <definedName name="solver_drv" localSheetId="6" hidden="1">1</definedName>
    <definedName name="solver_drv" localSheetId="2" hidden="1">1</definedName>
    <definedName name="solver_eng" localSheetId="5" hidden="1">1</definedName>
    <definedName name="solver_eng" localSheetId="6" hidden="1">1</definedName>
    <definedName name="solver_eng" localSheetId="2" hidden="1">1</definedName>
    <definedName name="solver_est" localSheetId="6" hidden="1">1</definedName>
    <definedName name="solver_est" localSheetId="2" hidden="1">1</definedName>
    <definedName name="solver_itr" localSheetId="6" hidden="1">2147483647</definedName>
    <definedName name="solver_itr" localSheetId="2" hidden="1">2147483647</definedName>
    <definedName name="solver_lhs1" localSheetId="6" hidden="1">Dashboard!$E$17</definedName>
    <definedName name="solver_lhs10" localSheetId="6" hidden="1">Dashboard!#REF!</definedName>
    <definedName name="solver_lhs11" localSheetId="6" hidden="1">Dashboard!#REF!</definedName>
    <definedName name="solver_lhs12" localSheetId="6" hidden="1">Dashboard!#REF!</definedName>
    <definedName name="solver_lhs2" localSheetId="6" hidden="1">Dashboard!$E$17</definedName>
    <definedName name="solver_lhs3" localSheetId="6" hidden="1">Dashboard!$C$10</definedName>
    <definedName name="solver_lhs4" localSheetId="6" hidden="1">Dashboard!$C$10</definedName>
    <definedName name="solver_lhs5" localSheetId="6" hidden="1">Dashboard!$C$11</definedName>
    <definedName name="solver_lhs6" localSheetId="6" hidden="1">Dashboard!$C$11</definedName>
    <definedName name="solver_lhs7" localSheetId="6" hidden="1">Dashboard!$E$17</definedName>
    <definedName name="solver_lhs8" localSheetId="6" hidden="1">Dashboard!$E$17</definedName>
    <definedName name="solver_lhs9" localSheetId="6" hidden="1">Dashboard!#REF!</definedName>
    <definedName name="solver_mip" localSheetId="6" hidden="1">2147483647</definedName>
    <definedName name="solver_mip" localSheetId="2" hidden="1">2147483647</definedName>
    <definedName name="solver_mni" localSheetId="6" hidden="1">30</definedName>
    <definedName name="solver_mni" localSheetId="2" hidden="1">30</definedName>
    <definedName name="solver_mrt" localSheetId="6" hidden="1">0.075</definedName>
    <definedName name="solver_mrt" localSheetId="2" hidden="1">0.075</definedName>
    <definedName name="solver_msl" localSheetId="6" hidden="1">2</definedName>
    <definedName name="solver_msl" localSheetId="2" hidden="1">2</definedName>
    <definedName name="solver_neg" localSheetId="5" hidden="1">1</definedName>
    <definedName name="solver_neg" localSheetId="6" hidden="1">1</definedName>
    <definedName name="solver_neg" localSheetId="2" hidden="1">1</definedName>
    <definedName name="solver_nod" localSheetId="6" hidden="1">2147483647</definedName>
    <definedName name="solver_nod" localSheetId="2" hidden="1">2147483647</definedName>
    <definedName name="solver_num" localSheetId="5" hidden="1">0</definedName>
    <definedName name="solver_num" localSheetId="6" hidden="1">0</definedName>
    <definedName name="solver_num" localSheetId="2" hidden="1">0</definedName>
    <definedName name="solver_nwt" localSheetId="6" hidden="1">1</definedName>
    <definedName name="solver_nwt" localSheetId="2" hidden="1">1</definedName>
    <definedName name="solver_opt" localSheetId="5" hidden="1">Community_Solar_Business_Case!#REF!</definedName>
    <definedName name="solver_opt" localSheetId="2" hidden="1">'Key_Assumptions_&amp;_Inputs'!$P$32</definedName>
    <definedName name="solver_pre" localSheetId="6" hidden="1">0.000001</definedName>
    <definedName name="solver_pre" localSheetId="2" hidden="1">0.000001</definedName>
    <definedName name="solver_rbv" localSheetId="6" hidden="1">1</definedName>
    <definedName name="solver_rbv" localSheetId="2" hidden="1">1</definedName>
    <definedName name="solver_rel1" localSheetId="6" hidden="1">3</definedName>
    <definedName name="solver_rel10" localSheetId="6" hidden="1">1</definedName>
    <definedName name="solver_rel11" localSheetId="6" hidden="1">1</definedName>
    <definedName name="solver_rel12" localSheetId="6" hidden="1">1</definedName>
    <definedName name="solver_rel2" localSheetId="6" hidden="1">1</definedName>
    <definedName name="solver_rel3" localSheetId="6" hidden="1">3</definedName>
    <definedName name="solver_rel4" localSheetId="6" hidden="1">1</definedName>
    <definedName name="solver_rel5" localSheetId="6" hidden="1">1</definedName>
    <definedName name="solver_rel6" localSheetId="6" hidden="1">3</definedName>
    <definedName name="solver_rel7" localSheetId="6" hidden="1">1</definedName>
    <definedName name="solver_rel8" localSheetId="6" hidden="1">1</definedName>
    <definedName name="solver_rel9" localSheetId="6" hidden="1">1</definedName>
    <definedName name="solver_rhs1" localSheetId="6" hidden="1">Dashboard!$F$17*0.9</definedName>
    <definedName name="solver_rhs10" localSheetId="6" hidden="1">1</definedName>
    <definedName name="solver_rhs11" localSheetId="6" hidden="1">1</definedName>
    <definedName name="solver_rhs12" localSheetId="6" hidden="1">1</definedName>
    <definedName name="solver_rhs2" localSheetId="6" hidden="1">Dashboard!$F$17*(1.1)</definedName>
    <definedName name="solver_rhs3" localSheetId="6" hidden="1">100</definedName>
    <definedName name="solver_rhs4" localSheetId="6" hidden="1">3000</definedName>
    <definedName name="solver_rhs5" localSheetId="6" hidden="1">50</definedName>
    <definedName name="solver_rhs6" localSheetId="6" hidden="1">0.5</definedName>
    <definedName name="solver_rhs7" localSheetId="6" hidden="1">Dashboard!$F$17*1.1</definedName>
    <definedName name="solver_rhs8" localSheetId="6" hidden="1">Dashboard!$F$17*1.1</definedName>
    <definedName name="solver_rhs9" localSheetId="6" hidden="1">1</definedName>
    <definedName name="solver_rlx" localSheetId="6" hidden="1">2</definedName>
    <definedName name="solver_rlx" localSheetId="2" hidden="1">2</definedName>
    <definedName name="solver_rsd" localSheetId="6" hidden="1">0</definedName>
    <definedName name="solver_rsd" localSheetId="2" hidden="1">0</definedName>
    <definedName name="solver_scl" localSheetId="6" hidden="1">1</definedName>
    <definedName name="solver_scl" localSheetId="2" hidden="1">1</definedName>
    <definedName name="solver_sho" localSheetId="6" hidden="1">2</definedName>
    <definedName name="solver_sho" localSheetId="2" hidden="1">2</definedName>
    <definedName name="solver_ssz" localSheetId="6" hidden="1">100</definedName>
    <definedName name="solver_ssz" localSheetId="2" hidden="1">100</definedName>
    <definedName name="solver_tim" localSheetId="6" hidden="1">2147483647</definedName>
    <definedName name="solver_tim" localSheetId="2" hidden="1">2147483647</definedName>
    <definedName name="solver_tol" localSheetId="6" hidden="1">0.01</definedName>
    <definedName name="solver_tol" localSheetId="2" hidden="1">0.01</definedName>
    <definedName name="solver_typ" localSheetId="5" hidden="1">3</definedName>
    <definedName name="solver_typ" localSheetId="6" hidden="1">1</definedName>
    <definedName name="solver_typ" localSheetId="2" hidden="1">1</definedName>
    <definedName name="solver_val" localSheetId="5" hidden="1">0.12</definedName>
    <definedName name="solver_val" localSheetId="6" hidden="1">0</definedName>
    <definedName name="solver_val" localSheetId="2" hidden="1">0</definedName>
    <definedName name="solver_ver" localSheetId="5" hidden="1">3</definedName>
    <definedName name="solver_ver" localSheetId="6" hidden="1">3</definedName>
    <definedName name="solver_ver" localSheetId="2" hidden="1">3</definedName>
    <definedName name="State">'Key_Assumptions_&amp;_Inputs'!$E$17</definedName>
    <definedName name="State_Incentives" localSheetId="1">#REF!</definedName>
    <definedName name="State_Incentives">#REF!</definedName>
    <definedName name="tech_salary">[1]Manager!$D$9</definedName>
    <definedName name="tgb">[1]Manager!$I$4</definedName>
    <definedName name="tgb_contract">[1]Manager!$C$6</definedName>
    <definedName name="TOTAL_ELECT_C_I_1PHASE_METERS">[2]SME!$E$26</definedName>
    <definedName name="TOTAL_ELECT_C_I_3PHASE_METERS">[2]SME!$E$25</definedName>
    <definedName name="TOTAL_ELECT_C_I_OTHER_METERS">[2]SME!$E$27</definedName>
    <definedName name="TOTAL_ELECT_RES_C_I_METERS">[2]SME!$E$29</definedName>
    <definedName name="TOTAL_ELECT_RES_METERS">[2]SME!$E$24</definedName>
    <definedName name="total_endpoints">[1]Calculations!$C$74</definedName>
    <definedName name="TOTAL_RES_METERS_TO_BE_REPLACED">[2]SME!$E$72</definedName>
    <definedName name="TOTAL_WATER_RES_COMM_METERS">[2]SGW!$H$30</definedName>
    <definedName name="trucheck">[1]Manager!$C$7</definedName>
    <definedName name="trucheck_pct">[1]Manager!$I$8</definedName>
    <definedName name="VOLT_VAR_OPT_DEMAND_SAVINGS">[2]DVC!$D$39</definedName>
    <definedName name="VOLT_VAR_OPT_ENERGY_SAVINGS">[2]DVC!$D$49</definedName>
    <definedName name="WaterForm">[1]Lookups!$E$2:$G$18</definedName>
    <definedName name="What" localSheetId="1">[1]Manager!#REF!</definedName>
    <definedName name="What">[1]Manager!#REF!</definedName>
  </definedNames>
  <calcPr calcId="145621"/>
</workbook>
</file>

<file path=xl/calcChain.xml><?xml version="1.0" encoding="utf-8"?>
<calcChain xmlns="http://schemas.openxmlformats.org/spreadsheetml/2006/main">
  <c r="F149" i="4" l="1"/>
  <c r="G149" i="4" s="1"/>
  <c r="H149" i="4" s="1"/>
  <c r="I149" i="4" s="1"/>
  <c r="J149" i="4" s="1"/>
  <c r="K149" i="4" s="1"/>
  <c r="L149" i="4" s="1"/>
  <c r="M149" i="4" s="1"/>
  <c r="N149" i="4" s="1"/>
  <c r="O149" i="4" s="1"/>
  <c r="P149" i="4" s="1"/>
  <c r="Q149" i="4" s="1"/>
  <c r="R149" i="4" s="1"/>
  <c r="S149" i="4" s="1"/>
  <c r="T149" i="4" s="1"/>
  <c r="U149" i="4" s="1"/>
  <c r="V149" i="4" s="1"/>
  <c r="W149" i="4" s="1"/>
  <c r="X149" i="4" s="1"/>
  <c r="Y149" i="4" s="1"/>
  <c r="Z149" i="4" s="1"/>
  <c r="AA149" i="4" s="1"/>
  <c r="AB149" i="4" s="1"/>
  <c r="AC149" i="4" s="1"/>
  <c r="AD149" i="4" s="1"/>
  <c r="G115" i="4"/>
  <c r="H115" i="4" s="1"/>
  <c r="I115" i="4" s="1"/>
  <c r="J115" i="4" s="1"/>
  <c r="K115" i="4" s="1"/>
  <c r="L115" i="4" s="1"/>
  <c r="M115" i="4" s="1"/>
  <c r="N115" i="4" s="1"/>
  <c r="O115" i="4" s="1"/>
  <c r="P115" i="4" s="1"/>
  <c r="Q115" i="4" s="1"/>
  <c r="R115" i="4" s="1"/>
  <c r="S115" i="4" s="1"/>
  <c r="T115" i="4" s="1"/>
  <c r="U115" i="4" s="1"/>
  <c r="V115" i="4" s="1"/>
  <c r="W115" i="4" s="1"/>
  <c r="X115" i="4" s="1"/>
  <c r="Y115" i="4" s="1"/>
  <c r="Z115" i="4" s="1"/>
  <c r="AA115" i="4" s="1"/>
  <c r="AB115" i="4" s="1"/>
  <c r="AC115" i="4" s="1"/>
  <c r="AD115" i="4" s="1"/>
  <c r="G79" i="4"/>
  <c r="H79" i="4" s="1"/>
  <c r="I79" i="4" s="1"/>
  <c r="J79" i="4" s="1"/>
  <c r="K79" i="4" s="1"/>
  <c r="L79" i="4" s="1"/>
  <c r="M79" i="4" s="1"/>
  <c r="N79" i="4" s="1"/>
  <c r="O79" i="4" s="1"/>
  <c r="P79" i="4" s="1"/>
  <c r="Q79" i="4" s="1"/>
  <c r="R79" i="4" s="1"/>
  <c r="S79" i="4" s="1"/>
  <c r="T79" i="4" s="1"/>
  <c r="U79" i="4" s="1"/>
  <c r="V79" i="4" s="1"/>
  <c r="W79" i="4" s="1"/>
  <c r="X79" i="4" s="1"/>
  <c r="Y79" i="4" s="1"/>
  <c r="Z79" i="4" s="1"/>
  <c r="AA79" i="4" s="1"/>
  <c r="AB79" i="4" s="1"/>
  <c r="AC79" i="4" s="1"/>
  <c r="AD79" i="4" s="1"/>
  <c r="G20" i="4"/>
  <c r="H20" i="4" s="1"/>
  <c r="I20" i="4" s="1"/>
  <c r="J20" i="4" s="1"/>
  <c r="K20" i="4" s="1"/>
  <c r="L20" i="4" s="1"/>
  <c r="M20" i="4" s="1"/>
  <c r="N20" i="4" s="1"/>
  <c r="O20" i="4" s="1"/>
  <c r="P20" i="4" s="1"/>
  <c r="Q20" i="4" s="1"/>
  <c r="R20" i="4" s="1"/>
  <c r="S20" i="4" s="1"/>
  <c r="T20" i="4" s="1"/>
  <c r="U20" i="4" s="1"/>
  <c r="V20" i="4" s="1"/>
  <c r="W20" i="4" s="1"/>
  <c r="X20" i="4" s="1"/>
  <c r="Y20" i="4" s="1"/>
  <c r="Z20" i="4" s="1"/>
  <c r="AA20" i="4" s="1"/>
  <c r="AB20" i="4" s="1"/>
  <c r="AC20" i="4" s="1"/>
  <c r="AD20" i="4" s="1"/>
  <c r="G12" i="4"/>
  <c r="H12" i="4" s="1"/>
  <c r="I12" i="4" s="1"/>
  <c r="J12" i="4" s="1"/>
  <c r="K12" i="4" s="1"/>
  <c r="L12" i="4" s="1"/>
  <c r="M12" i="4" s="1"/>
  <c r="N12" i="4" s="1"/>
  <c r="O12" i="4" s="1"/>
  <c r="P12" i="4" s="1"/>
  <c r="Q12" i="4" s="1"/>
  <c r="R12" i="4" s="1"/>
  <c r="S12" i="4" s="1"/>
  <c r="T12" i="4" s="1"/>
  <c r="U12" i="4" s="1"/>
  <c r="V12" i="4" s="1"/>
  <c r="W12" i="4" s="1"/>
  <c r="X12" i="4" s="1"/>
  <c r="Y12" i="4" s="1"/>
  <c r="Z12" i="4" s="1"/>
  <c r="AA12" i="4" s="1"/>
  <c r="AB12" i="4" s="1"/>
  <c r="AC12" i="4" s="1"/>
  <c r="AD12" i="4" s="1"/>
  <c r="R62" i="33"/>
  <c r="Q62" i="33"/>
  <c r="P62" i="33"/>
  <c r="R61" i="33"/>
  <c r="Q61" i="33"/>
  <c r="P61" i="33"/>
  <c r="R60" i="33"/>
  <c r="Q60" i="33"/>
  <c r="P60" i="33"/>
  <c r="R59" i="33"/>
  <c r="Q59" i="33"/>
  <c r="P59" i="33"/>
  <c r="R58" i="33"/>
  <c r="Q58" i="33"/>
  <c r="P58" i="33"/>
  <c r="B55" i="29" l="1"/>
  <c r="J63" i="33" l="1"/>
  <c r="J62" i="33" l="1"/>
  <c r="H20" i="44" l="1"/>
  <c r="E81" i="4" l="1"/>
  <c r="E82" i="4" s="1"/>
  <c r="E85" i="4"/>
  <c r="E87" i="4" s="1"/>
  <c r="F85" i="4"/>
  <c r="F87" i="4" s="1"/>
  <c r="F86" i="4"/>
  <c r="G85" i="4"/>
  <c r="G86" i="4"/>
  <c r="H85" i="4"/>
  <c r="H87" i="4" s="1"/>
  <c r="H86" i="4"/>
  <c r="I85" i="4"/>
  <c r="I86" i="4"/>
  <c r="J85" i="4"/>
  <c r="J87" i="4" s="1"/>
  <c r="J86" i="4"/>
  <c r="K85" i="4"/>
  <c r="K86" i="4"/>
  <c r="L85" i="4"/>
  <c r="L86" i="4"/>
  <c r="M85" i="4"/>
  <c r="M86" i="4"/>
  <c r="N85" i="4"/>
  <c r="N87" i="4" s="1"/>
  <c r="N86" i="4"/>
  <c r="O85" i="4"/>
  <c r="O86" i="4"/>
  <c r="P85" i="4"/>
  <c r="P86" i="4"/>
  <c r="Q85" i="4"/>
  <c r="Q86" i="4"/>
  <c r="R85" i="4"/>
  <c r="R87" i="4" s="1"/>
  <c r="R86" i="4"/>
  <c r="S85" i="4"/>
  <c r="S86" i="4"/>
  <c r="T85" i="4"/>
  <c r="T86" i="4"/>
  <c r="U85" i="4"/>
  <c r="U86" i="4"/>
  <c r="V85" i="4"/>
  <c r="V86" i="4"/>
  <c r="W85" i="4"/>
  <c r="W86" i="4"/>
  <c r="X85" i="4"/>
  <c r="X87" i="4" s="1"/>
  <c r="X86" i="4"/>
  <c r="Y85" i="4"/>
  <c r="Y86" i="4"/>
  <c r="E117" i="4"/>
  <c r="E118" i="4" s="1"/>
  <c r="E121" i="4"/>
  <c r="E123" i="4" s="1"/>
  <c r="F117" i="4"/>
  <c r="F118" i="4" s="1"/>
  <c r="F121" i="4"/>
  <c r="F122" i="4"/>
  <c r="G117" i="4"/>
  <c r="G118" i="4" s="1"/>
  <c r="G121" i="4"/>
  <c r="G122" i="4"/>
  <c r="H117" i="4"/>
  <c r="H118" i="4" s="1"/>
  <c r="H121" i="4"/>
  <c r="H122" i="4"/>
  <c r="I117" i="4"/>
  <c r="I118" i="4" s="1"/>
  <c r="I121" i="4"/>
  <c r="I122" i="4"/>
  <c r="J117" i="4"/>
  <c r="J118" i="4" s="1"/>
  <c r="J121" i="4"/>
  <c r="J122" i="4"/>
  <c r="K117" i="4"/>
  <c r="K118" i="4" s="1"/>
  <c r="K121" i="4"/>
  <c r="K123" i="4" s="1"/>
  <c r="K122" i="4"/>
  <c r="L117" i="4"/>
  <c r="L118" i="4" s="1"/>
  <c r="L121" i="4"/>
  <c r="L122" i="4"/>
  <c r="M117" i="4"/>
  <c r="M118" i="4"/>
  <c r="M121" i="4"/>
  <c r="M122" i="4"/>
  <c r="N117" i="4"/>
  <c r="N118" i="4" s="1"/>
  <c r="N121" i="4"/>
  <c r="N123" i="4" s="1"/>
  <c r="N122" i="4"/>
  <c r="O117" i="4"/>
  <c r="O118" i="4" s="1"/>
  <c r="O121" i="4"/>
  <c r="O122" i="4"/>
  <c r="P117" i="4"/>
  <c r="P118" i="4" s="1"/>
  <c r="P121" i="4"/>
  <c r="P122" i="4"/>
  <c r="Q117" i="4"/>
  <c r="Q118" i="4" s="1"/>
  <c r="Q121" i="4"/>
  <c r="Q122" i="4"/>
  <c r="R117" i="4"/>
  <c r="R118" i="4" s="1"/>
  <c r="R121" i="4"/>
  <c r="R122" i="4"/>
  <c r="S117" i="4"/>
  <c r="S118" i="4" s="1"/>
  <c r="S121" i="4"/>
  <c r="S122" i="4"/>
  <c r="T117" i="4"/>
  <c r="T118" i="4" s="1"/>
  <c r="T121" i="4"/>
  <c r="T122" i="4"/>
  <c r="U117" i="4"/>
  <c r="U118" i="4" s="1"/>
  <c r="U121" i="4"/>
  <c r="U122" i="4"/>
  <c r="V117" i="4"/>
  <c r="V118" i="4" s="1"/>
  <c r="V121" i="4"/>
  <c r="V122" i="4"/>
  <c r="W117" i="4"/>
  <c r="W118" i="4" s="1"/>
  <c r="W121" i="4"/>
  <c r="W122" i="4"/>
  <c r="X117" i="4"/>
  <c r="X118" i="4" s="1"/>
  <c r="X121" i="4"/>
  <c r="X122" i="4"/>
  <c r="Y117" i="4"/>
  <c r="Y118" i="4" s="1"/>
  <c r="Y121" i="4"/>
  <c r="Y122" i="4"/>
  <c r="E48" i="4"/>
  <c r="I47" i="4"/>
  <c r="H47" i="4"/>
  <c r="G47" i="4"/>
  <c r="E47" i="4"/>
  <c r="F47" i="4"/>
  <c r="J47" i="4"/>
  <c r="K47" i="4"/>
  <c r="L47" i="4"/>
  <c r="M47" i="4"/>
  <c r="N47" i="4"/>
  <c r="O47" i="4"/>
  <c r="P47" i="4"/>
  <c r="Q47" i="4"/>
  <c r="R47" i="4"/>
  <c r="S47" i="4"/>
  <c r="T47" i="4"/>
  <c r="U47" i="4"/>
  <c r="V47" i="4"/>
  <c r="W47" i="4"/>
  <c r="X47" i="4"/>
  <c r="Y47" i="4"/>
  <c r="Z47" i="4"/>
  <c r="AA47" i="4"/>
  <c r="AB47" i="4"/>
  <c r="AC47" i="4"/>
  <c r="AD47" i="4"/>
  <c r="E92" i="4"/>
  <c r="AD90" i="4"/>
  <c r="AC90" i="4"/>
  <c r="AB90" i="4"/>
  <c r="AA90" i="4"/>
  <c r="Z90" i="4"/>
  <c r="Y90" i="4"/>
  <c r="X90" i="4"/>
  <c r="W90" i="4"/>
  <c r="V90" i="4"/>
  <c r="U90" i="4"/>
  <c r="T90" i="4"/>
  <c r="S90" i="4"/>
  <c r="R90" i="4"/>
  <c r="Q90" i="4"/>
  <c r="P90" i="4"/>
  <c r="O90" i="4"/>
  <c r="N90" i="4"/>
  <c r="M90" i="4"/>
  <c r="L90" i="4"/>
  <c r="K90" i="4"/>
  <c r="J90" i="4"/>
  <c r="I90" i="4"/>
  <c r="H90" i="4"/>
  <c r="G90" i="4"/>
  <c r="F90" i="4"/>
  <c r="Z85" i="4"/>
  <c r="Z86" i="4"/>
  <c r="AA85" i="4"/>
  <c r="AA86" i="4"/>
  <c r="AB85" i="4"/>
  <c r="AB86" i="4"/>
  <c r="AC85" i="4"/>
  <c r="AC86" i="4"/>
  <c r="AD85" i="4"/>
  <c r="AD86" i="4"/>
  <c r="E42" i="29"/>
  <c r="E43" i="29"/>
  <c r="E44" i="29"/>
  <c r="E45" i="29"/>
  <c r="E46" i="29"/>
  <c r="E47" i="29"/>
  <c r="E48" i="29"/>
  <c r="E49" i="29"/>
  <c r="E50" i="29"/>
  <c r="E51" i="29"/>
  <c r="E52" i="29"/>
  <c r="E53" i="29"/>
  <c r="E35" i="33"/>
  <c r="H81" i="4" s="1"/>
  <c r="H82" i="4" s="1"/>
  <c r="S49" i="4"/>
  <c r="Q49" i="4"/>
  <c r="O49" i="4"/>
  <c r="M49" i="4"/>
  <c r="K49" i="4"/>
  <c r="I49" i="4"/>
  <c r="G49" i="4"/>
  <c r="E49" i="4"/>
  <c r="J39" i="33"/>
  <c r="E23" i="4" s="1"/>
  <c r="E22" i="4"/>
  <c r="E28" i="4"/>
  <c r="E40" i="4"/>
  <c r="E41" i="4"/>
  <c r="E43" i="4"/>
  <c r="E42" i="4"/>
  <c r="E56" i="4"/>
  <c r="E54" i="4"/>
  <c r="E50" i="4"/>
  <c r="E33" i="4"/>
  <c r="E34" i="4"/>
  <c r="E35" i="4"/>
  <c r="F27" i="4"/>
  <c r="F28" i="4"/>
  <c r="F23" i="4"/>
  <c r="F22" i="4"/>
  <c r="F39" i="4"/>
  <c r="F41" i="4"/>
  <c r="D58" i="29"/>
  <c r="D59" i="29"/>
  <c r="D60" i="29"/>
  <c r="D61" i="29"/>
  <c r="D62" i="29"/>
  <c r="D63" i="29"/>
  <c r="D64" i="29"/>
  <c r="D65" i="29"/>
  <c r="D66" i="29"/>
  <c r="D67" i="29"/>
  <c r="D68" i="29"/>
  <c r="D69" i="29"/>
  <c r="D70" i="29"/>
  <c r="F43" i="4" s="1"/>
  <c r="F56" i="4"/>
  <c r="C10" i="44"/>
  <c r="H11" i="33" s="1"/>
  <c r="F50" i="4"/>
  <c r="F32" i="4"/>
  <c r="F34" i="4"/>
  <c r="F35" i="4"/>
  <c r="G27" i="4"/>
  <c r="G23" i="4"/>
  <c r="G22" i="4"/>
  <c r="G39" i="4"/>
  <c r="G41" i="4"/>
  <c r="G56" i="4"/>
  <c r="G14" i="4"/>
  <c r="F42" i="29"/>
  <c r="F43" i="29"/>
  <c r="F44" i="29"/>
  <c r="F45" i="29"/>
  <c r="F46" i="29"/>
  <c r="F47" i="29"/>
  <c r="F48" i="29"/>
  <c r="F49" i="29"/>
  <c r="F50" i="29"/>
  <c r="F51" i="29"/>
  <c r="F52" i="29"/>
  <c r="F53" i="29"/>
  <c r="G50" i="4"/>
  <c r="G32" i="4"/>
  <c r="G34" i="4"/>
  <c r="G35" i="4"/>
  <c r="H27" i="4"/>
  <c r="H28" i="4"/>
  <c r="H23" i="4"/>
  <c r="H22" i="4"/>
  <c r="H39" i="4"/>
  <c r="H41" i="4"/>
  <c r="H43" i="4"/>
  <c r="H56" i="4"/>
  <c r="H14" i="4"/>
  <c r="G42" i="29"/>
  <c r="G43" i="29"/>
  <c r="G44" i="29"/>
  <c r="G45" i="29"/>
  <c r="G46" i="29"/>
  <c r="G47" i="29"/>
  <c r="G48" i="29"/>
  <c r="G49" i="29"/>
  <c r="G50" i="29"/>
  <c r="G51" i="29"/>
  <c r="G52" i="29"/>
  <c r="G53" i="29"/>
  <c r="H50" i="4"/>
  <c r="H32" i="4"/>
  <c r="H34" i="4"/>
  <c r="H35" i="4"/>
  <c r="I27" i="4"/>
  <c r="I28" i="4"/>
  <c r="I23" i="4"/>
  <c r="I22" i="4"/>
  <c r="I24" i="4" s="1"/>
  <c r="I39" i="4"/>
  <c r="I41" i="4"/>
  <c r="I43" i="4"/>
  <c r="I56" i="4"/>
  <c r="I13" i="4"/>
  <c r="H86" i="50" s="1"/>
  <c r="I14" i="4"/>
  <c r="H42" i="29"/>
  <c r="H43" i="29"/>
  <c r="H44" i="29"/>
  <c r="H45" i="29"/>
  <c r="H46" i="29"/>
  <c r="H47" i="29"/>
  <c r="H48" i="29"/>
  <c r="H49" i="29"/>
  <c r="H50" i="29"/>
  <c r="H51" i="29"/>
  <c r="H52" i="29"/>
  <c r="H53" i="29"/>
  <c r="I50" i="4"/>
  <c r="I32" i="4"/>
  <c r="I34" i="4"/>
  <c r="I35" i="4"/>
  <c r="J27" i="4"/>
  <c r="J28" i="4"/>
  <c r="J23" i="4"/>
  <c r="J22" i="4"/>
  <c r="J39" i="4"/>
  <c r="J41" i="4"/>
  <c r="J43" i="4"/>
  <c r="J56" i="4"/>
  <c r="J14" i="4"/>
  <c r="I42" i="29"/>
  <c r="I43" i="29"/>
  <c r="I44" i="29"/>
  <c r="I45" i="29"/>
  <c r="I46" i="29"/>
  <c r="I47" i="29"/>
  <c r="I48" i="29"/>
  <c r="I49" i="29"/>
  <c r="I50" i="29"/>
  <c r="I51" i="29"/>
  <c r="I52" i="29"/>
  <c r="I53" i="29"/>
  <c r="J50" i="4"/>
  <c r="J32" i="4"/>
  <c r="J34" i="4"/>
  <c r="J35" i="4"/>
  <c r="K27" i="4"/>
  <c r="K28" i="4"/>
  <c r="K23" i="4"/>
  <c r="K22" i="4"/>
  <c r="K39" i="4"/>
  <c r="K41" i="4"/>
  <c r="K43" i="4"/>
  <c r="K56" i="4"/>
  <c r="K14" i="4"/>
  <c r="J42" i="29"/>
  <c r="J43" i="29"/>
  <c r="J44" i="29"/>
  <c r="J45" i="29"/>
  <c r="J46" i="29"/>
  <c r="J47" i="29"/>
  <c r="J48" i="29"/>
  <c r="J49" i="29"/>
  <c r="J50" i="29"/>
  <c r="J51" i="29"/>
  <c r="J52" i="29"/>
  <c r="J53" i="29"/>
  <c r="K55" i="4"/>
  <c r="K50" i="4"/>
  <c r="K32" i="4"/>
  <c r="K34" i="4"/>
  <c r="K35" i="4"/>
  <c r="L27" i="4"/>
  <c r="L28" i="4"/>
  <c r="L23" i="4"/>
  <c r="L22" i="4"/>
  <c r="L39" i="4"/>
  <c r="L40" i="4"/>
  <c r="L41" i="4"/>
  <c r="L43" i="4"/>
  <c r="L56" i="4"/>
  <c r="L14" i="4"/>
  <c r="K42" i="29"/>
  <c r="K43" i="29"/>
  <c r="K44" i="29"/>
  <c r="K45" i="29"/>
  <c r="K46" i="29"/>
  <c r="K47" i="29"/>
  <c r="K48" i="29"/>
  <c r="K49" i="29"/>
  <c r="K50" i="29"/>
  <c r="K51" i="29"/>
  <c r="K52" i="29"/>
  <c r="K53" i="29"/>
  <c r="L55" i="4"/>
  <c r="L50" i="4"/>
  <c r="L32" i="4"/>
  <c r="L34" i="4"/>
  <c r="L35" i="4"/>
  <c r="M27" i="4"/>
  <c r="M28" i="4"/>
  <c r="M23" i="4"/>
  <c r="M22" i="4"/>
  <c r="M39" i="4"/>
  <c r="M40" i="4"/>
  <c r="M41" i="4"/>
  <c r="M43" i="4"/>
  <c r="M56" i="4"/>
  <c r="M14" i="4"/>
  <c r="L42" i="29"/>
  <c r="L43" i="29"/>
  <c r="L44" i="29"/>
  <c r="L45" i="29"/>
  <c r="L46" i="29"/>
  <c r="L47" i="29"/>
  <c r="L48" i="29"/>
  <c r="L49" i="29"/>
  <c r="L50" i="29"/>
  <c r="L51" i="29"/>
  <c r="L52" i="29"/>
  <c r="L53" i="29"/>
  <c r="M55" i="4"/>
  <c r="M50" i="4"/>
  <c r="M32" i="4"/>
  <c r="M34" i="4"/>
  <c r="M35" i="4"/>
  <c r="N27" i="4"/>
  <c r="N28" i="4"/>
  <c r="N23" i="4"/>
  <c r="N22" i="4"/>
  <c r="N39" i="4"/>
  <c r="N40" i="4"/>
  <c r="N41" i="4"/>
  <c r="N43" i="4"/>
  <c r="N56" i="4"/>
  <c r="N14" i="4"/>
  <c r="M42" i="29"/>
  <c r="M43" i="29"/>
  <c r="M44" i="29"/>
  <c r="M45" i="29"/>
  <c r="M46" i="29"/>
  <c r="M47" i="29"/>
  <c r="M48" i="29"/>
  <c r="M49" i="29"/>
  <c r="M50" i="29"/>
  <c r="M51" i="29"/>
  <c r="M52" i="29"/>
  <c r="M53" i="29"/>
  <c r="N55" i="4"/>
  <c r="N50" i="4"/>
  <c r="N32" i="4"/>
  <c r="N34" i="4"/>
  <c r="N35" i="4"/>
  <c r="O27" i="4"/>
  <c r="O28" i="4"/>
  <c r="O23" i="4"/>
  <c r="O22" i="4"/>
  <c r="O24" i="4" s="1"/>
  <c r="O39" i="4"/>
  <c r="O40" i="4"/>
  <c r="O41" i="4"/>
  <c r="O43" i="4"/>
  <c r="O56" i="4"/>
  <c r="O14" i="4"/>
  <c r="N42" i="29"/>
  <c r="N43" i="29"/>
  <c r="N44" i="29"/>
  <c r="N45" i="29"/>
  <c r="N46" i="29"/>
  <c r="N47" i="29"/>
  <c r="N48" i="29"/>
  <c r="N49" i="29"/>
  <c r="N50" i="29"/>
  <c r="N51" i="29"/>
  <c r="N52" i="29"/>
  <c r="N53" i="29"/>
  <c r="O55" i="4"/>
  <c r="O50" i="4"/>
  <c r="O32" i="4"/>
  <c r="O34" i="4"/>
  <c r="O35" i="4"/>
  <c r="P27" i="4"/>
  <c r="P28" i="4"/>
  <c r="P23" i="4"/>
  <c r="P22" i="4"/>
  <c r="P39" i="4"/>
  <c r="P40" i="4"/>
  <c r="P41" i="4"/>
  <c r="P43" i="4"/>
  <c r="P56" i="4"/>
  <c r="P14" i="4"/>
  <c r="O42" i="29"/>
  <c r="O43" i="29"/>
  <c r="O44" i="29"/>
  <c r="O45" i="29"/>
  <c r="O46" i="29"/>
  <c r="O47" i="29"/>
  <c r="O48" i="29"/>
  <c r="O49" i="29"/>
  <c r="O50" i="29"/>
  <c r="O51" i="29"/>
  <c r="O52" i="29"/>
  <c r="O53" i="29"/>
  <c r="P55" i="4"/>
  <c r="P50" i="4"/>
  <c r="P32" i="4"/>
  <c r="P34" i="4"/>
  <c r="P35" i="4"/>
  <c r="Q27" i="4"/>
  <c r="Q28" i="4"/>
  <c r="Q23" i="4"/>
  <c r="Q22" i="4"/>
  <c r="Q39" i="4"/>
  <c r="Q40" i="4"/>
  <c r="Q41" i="4"/>
  <c r="Q43" i="4"/>
  <c r="Q56" i="4"/>
  <c r="Q14" i="4"/>
  <c r="P42" i="29"/>
  <c r="P43" i="29"/>
  <c r="P44" i="29"/>
  <c r="P45" i="29"/>
  <c r="P46" i="29"/>
  <c r="P47" i="29"/>
  <c r="P48" i="29"/>
  <c r="P49" i="29"/>
  <c r="P50" i="29"/>
  <c r="P51" i="29"/>
  <c r="P52" i="29"/>
  <c r="P53" i="29"/>
  <c r="Q55" i="4"/>
  <c r="Q50" i="4"/>
  <c r="Q32" i="4"/>
  <c r="Q34" i="4"/>
  <c r="Q35" i="4"/>
  <c r="R27" i="4"/>
  <c r="R28" i="4"/>
  <c r="R23" i="4"/>
  <c r="R22" i="4"/>
  <c r="R39" i="4"/>
  <c r="R40" i="4"/>
  <c r="R41" i="4"/>
  <c r="R43" i="4"/>
  <c r="R56" i="4"/>
  <c r="R14" i="4"/>
  <c r="Q42" i="29"/>
  <c r="Q43" i="29"/>
  <c r="Q44" i="29"/>
  <c r="Q45" i="29"/>
  <c r="Q46" i="29"/>
  <c r="Q47" i="29"/>
  <c r="Q48" i="29"/>
  <c r="Q49" i="29"/>
  <c r="Q50" i="29"/>
  <c r="Q51" i="29"/>
  <c r="Q52" i="29"/>
  <c r="Q53" i="29"/>
  <c r="R55" i="4"/>
  <c r="R50" i="4"/>
  <c r="R32" i="4"/>
  <c r="R34" i="4"/>
  <c r="R35" i="4"/>
  <c r="S27" i="4"/>
  <c r="S28" i="4"/>
  <c r="S23" i="4"/>
  <c r="S22" i="4"/>
  <c r="S39" i="4"/>
  <c r="S40" i="4"/>
  <c r="S41" i="4"/>
  <c r="S43" i="4"/>
  <c r="S56" i="4"/>
  <c r="S14" i="4"/>
  <c r="R42" i="29"/>
  <c r="R43" i="29"/>
  <c r="R44" i="29"/>
  <c r="R45" i="29"/>
  <c r="R46" i="29"/>
  <c r="R47" i="29"/>
  <c r="R48" i="29"/>
  <c r="R49" i="29"/>
  <c r="R50" i="29"/>
  <c r="R51" i="29"/>
  <c r="R52" i="29"/>
  <c r="R53" i="29"/>
  <c r="S55" i="4"/>
  <c r="S50" i="4"/>
  <c r="S32" i="4"/>
  <c r="S34" i="4"/>
  <c r="S35" i="4"/>
  <c r="T27" i="4"/>
  <c r="T28" i="4"/>
  <c r="T23" i="4"/>
  <c r="T22" i="4"/>
  <c r="T39" i="4"/>
  <c r="T40" i="4"/>
  <c r="T41" i="4"/>
  <c r="T43" i="4"/>
  <c r="T56" i="4"/>
  <c r="T14" i="4"/>
  <c r="S42" i="29"/>
  <c r="S43" i="29"/>
  <c r="S44" i="29"/>
  <c r="S45" i="29"/>
  <c r="S46" i="29"/>
  <c r="S47" i="29"/>
  <c r="S48" i="29"/>
  <c r="S49" i="29"/>
  <c r="S50" i="29"/>
  <c r="S51" i="29"/>
  <c r="S52" i="29"/>
  <c r="S53" i="29"/>
  <c r="T55" i="4"/>
  <c r="T50" i="4"/>
  <c r="T32" i="4"/>
  <c r="T34" i="4"/>
  <c r="T35" i="4"/>
  <c r="U27" i="4"/>
  <c r="U28" i="4"/>
  <c r="U23" i="4"/>
  <c r="U22" i="4"/>
  <c r="U39" i="4"/>
  <c r="U40" i="4"/>
  <c r="U41" i="4"/>
  <c r="U43" i="4"/>
  <c r="U56" i="4"/>
  <c r="U14" i="4"/>
  <c r="T42" i="29"/>
  <c r="T43" i="29"/>
  <c r="T44" i="29"/>
  <c r="T45" i="29"/>
  <c r="T46" i="29"/>
  <c r="T47" i="29"/>
  <c r="T48" i="29"/>
  <c r="T49" i="29"/>
  <c r="T50" i="29"/>
  <c r="T51" i="29"/>
  <c r="T52" i="29"/>
  <c r="T53" i="29"/>
  <c r="U55" i="4"/>
  <c r="U50" i="4"/>
  <c r="U32" i="4"/>
  <c r="U34" i="4"/>
  <c r="U35" i="4"/>
  <c r="V27" i="4"/>
  <c r="V28" i="4"/>
  <c r="V23" i="4"/>
  <c r="V22" i="4"/>
  <c r="V39" i="4"/>
  <c r="V40" i="4"/>
  <c r="V41" i="4"/>
  <c r="V43" i="4"/>
  <c r="V56" i="4"/>
  <c r="V14" i="4"/>
  <c r="U42" i="29"/>
  <c r="U43" i="29"/>
  <c r="U44" i="29"/>
  <c r="U45" i="29"/>
  <c r="U46" i="29"/>
  <c r="U47" i="29"/>
  <c r="U48" i="29"/>
  <c r="U49" i="29"/>
  <c r="U50" i="29"/>
  <c r="U51" i="29"/>
  <c r="U52" i="29"/>
  <c r="U53" i="29"/>
  <c r="V55" i="4"/>
  <c r="V50" i="4"/>
  <c r="V32" i="4"/>
  <c r="V34" i="4"/>
  <c r="V35" i="4"/>
  <c r="W27" i="4"/>
  <c r="W28" i="4"/>
  <c r="W23" i="4"/>
  <c r="W22" i="4"/>
  <c r="W39" i="4"/>
  <c r="W40" i="4"/>
  <c r="W41" i="4"/>
  <c r="W43" i="4"/>
  <c r="W56" i="4"/>
  <c r="W14" i="4"/>
  <c r="V42" i="29"/>
  <c r="V43" i="29"/>
  <c r="V44" i="29"/>
  <c r="V45" i="29"/>
  <c r="V46" i="29"/>
  <c r="V47" i="29"/>
  <c r="V48" i="29"/>
  <c r="V49" i="29"/>
  <c r="V50" i="29"/>
  <c r="V51" i="29"/>
  <c r="V52" i="29"/>
  <c r="V53" i="29"/>
  <c r="W55" i="4"/>
  <c r="W50" i="4"/>
  <c r="W32" i="4"/>
  <c r="W34" i="4"/>
  <c r="W35" i="4"/>
  <c r="X27" i="4"/>
  <c r="X28" i="4"/>
  <c r="X23" i="4"/>
  <c r="X22" i="4"/>
  <c r="X39" i="4"/>
  <c r="X40" i="4"/>
  <c r="X41" i="4"/>
  <c r="X43" i="4"/>
  <c r="X56" i="4"/>
  <c r="X14" i="4"/>
  <c r="W42" i="29"/>
  <c r="W43" i="29"/>
  <c r="W44" i="29"/>
  <c r="W45" i="29"/>
  <c r="W46" i="29"/>
  <c r="W47" i="29"/>
  <c r="W48" i="29"/>
  <c r="W49" i="29"/>
  <c r="W50" i="29"/>
  <c r="W51" i="29"/>
  <c r="W52" i="29"/>
  <c r="W53" i="29"/>
  <c r="X55" i="4"/>
  <c r="X50" i="4"/>
  <c r="X32" i="4"/>
  <c r="X34" i="4"/>
  <c r="X35" i="4"/>
  <c r="Y27" i="4"/>
  <c r="Y28" i="4"/>
  <c r="Y23" i="4"/>
  <c r="Y22" i="4"/>
  <c r="Y39" i="4"/>
  <c r="Y40" i="4"/>
  <c r="Y41" i="4"/>
  <c r="Y43" i="4"/>
  <c r="Y56" i="4"/>
  <c r="Y14" i="4"/>
  <c r="X42" i="29"/>
  <c r="X43" i="29"/>
  <c r="X44" i="29"/>
  <c r="X45" i="29"/>
  <c r="X46" i="29"/>
  <c r="X47" i="29"/>
  <c r="X48" i="29"/>
  <c r="X49" i="29"/>
  <c r="X50" i="29"/>
  <c r="X51" i="29"/>
  <c r="X52" i="29"/>
  <c r="X53" i="29"/>
  <c r="Y55" i="4"/>
  <c r="Y50" i="4"/>
  <c r="Y32" i="4"/>
  <c r="Y34" i="4"/>
  <c r="Y35" i="4"/>
  <c r="Z27" i="4"/>
  <c r="Z28" i="4"/>
  <c r="Z23" i="4"/>
  <c r="Z22" i="4"/>
  <c r="Z39" i="4"/>
  <c r="Z40" i="4"/>
  <c r="Z41" i="4"/>
  <c r="Z43" i="4"/>
  <c r="Z56" i="4"/>
  <c r="Z14" i="4"/>
  <c r="Y42" i="29"/>
  <c r="Y43" i="29"/>
  <c r="Y44" i="29"/>
  <c r="Y45" i="29"/>
  <c r="Y46" i="29"/>
  <c r="Y47" i="29"/>
  <c r="Y48" i="29"/>
  <c r="Y49" i="29"/>
  <c r="Y50" i="29"/>
  <c r="Y51" i="29"/>
  <c r="Y52" i="29"/>
  <c r="Y53" i="29"/>
  <c r="Z55" i="4"/>
  <c r="Z50" i="4"/>
  <c r="Z32" i="4"/>
  <c r="Z34" i="4"/>
  <c r="Z35" i="4"/>
  <c r="AA27" i="4"/>
  <c r="AA28" i="4"/>
  <c r="AA23" i="4"/>
  <c r="AA22" i="4"/>
  <c r="AA39" i="4"/>
  <c r="AA40" i="4"/>
  <c r="AA41" i="4"/>
  <c r="AA43" i="4"/>
  <c r="AA56" i="4"/>
  <c r="AA14" i="4"/>
  <c r="Z42" i="29"/>
  <c r="Z43" i="29"/>
  <c r="Z44" i="29"/>
  <c r="Z45" i="29"/>
  <c r="Z46" i="29"/>
  <c r="Z47" i="29"/>
  <c r="Z48" i="29"/>
  <c r="Z49" i="29"/>
  <c r="Z50" i="29"/>
  <c r="Z51" i="29"/>
  <c r="Z52" i="29"/>
  <c r="Z53" i="29"/>
  <c r="AA55" i="4"/>
  <c r="AA50" i="4"/>
  <c r="AA32" i="4"/>
  <c r="AA34" i="4"/>
  <c r="AA35" i="4"/>
  <c r="AB27" i="4"/>
  <c r="AB28" i="4"/>
  <c r="AB23" i="4"/>
  <c r="AB22" i="4"/>
  <c r="AB39" i="4"/>
  <c r="AB40" i="4"/>
  <c r="AB41" i="4"/>
  <c r="AB43" i="4"/>
  <c r="AB56" i="4"/>
  <c r="AB14" i="4"/>
  <c r="AA42" i="29"/>
  <c r="AA43" i="29"/>
  <c r="AA44" i="29"/>
  <c r="AA45" i="29"/>
  <c r="AA46" i="29"/>
  <c r="AA47" i="29"/>
  <c r="AA48" i="29"/>
  <c r="AA49" i="29"/>
  <c r="AA50" i="29"/>
  <c r="AA51" i="29"/>
  <c r="AA52" i="29"/>
  <c r="AA53" i="29"/>
  <c r="AB55" i="4"/>
  <c r="AB50" i="4"/>
  <c r="AB32" i="4"/>
  <c r="AB34" i="4"/>
  <c r="AB35" i="4"/>
  <c r="AC27" i="4"/>
  <c r="AC28" i="4"/>
  <c r="AC23" i="4"/>
  <c r="AC22" i="4"/>
  <c r="AC39" i="4"/>
  <c r="AC40" i="4"/>
  <c r="AC41" i="4"/>
  <c r="AC43" i="4"/>
  <c r="AC56" i="4"/>
  <c r="AC14" i="4"/>
  <c r="AB42" i="29"/>
  <c r="AB43" i="29"/>
  <c r="AB44" i="29"/>
  <c r="AB45" i="29"/>
  <c r="AB46" i="29"/>
  <c r="AB47" i="29"/>
  <c r="AB48" i="29"/>
  <c r="AB49" i="29"/>
  <c r="AB50" i="29"/>
  <c r="AB51" i="29"/>
  <c r="AB52" i="29"/>
  <c r="AB53" i="29"/>
  <c r="AC55" i="4"/>
  <c r="AC50" i="4"/>
  <c r="AC32" i="4"/>
  <c r="AC34" i="4"/>
  <c r="AC35" i="4"/>
  <c r="AD27" i="4"/>
  <c r="AD28" i="4"/>
  <c r="AD23" i="4"/>
  <c r="AD22" i="4"/>
  <c r="AD39" i="4"/>
  <c r="AD40" i="4"/>
  <c r="AD41" i="4"/>
  <c r="AD43" i="4"/>
  <c r="AD14" i="4"/>
  <c r="AC42" i="29"/>
  <c r="AC43" i="29"/>
  <c r="AC44" i="29"/>
  <c r="AC45" i="29"/>
  <c r="AC46" i="29"/>
  <c r="AC47" i="29"/>
  <c r="AC48" i="29"/>
  <c r="AC49" i="29"/>
  <c r="AC50" i="29"/>
  <c r="AC51" i="29"/>
  <c r="AC52" i="29"/>
  <c r="AC53" i="29"/>
  <c r="AD55" i="4"/>
  <c r="AD50" i="4"/>
  <c r="AD32" i="4"/>
  <c r="AD34" i="4"/>
  <c r="AD35" i="4"/>
  <c r="D26" i="29"/>
  <c r="E26" i="29"/>
  <c r="E90" i="29"/>
  <c r="D27" i="29"/>
  <c r="E27" i="29"/>
  <c r="E91" i="29"/>
  <c r="D28" i="29"/>
  <c r="E28" i="29"/>
  <c r="E92" i="29"/>
  <c r="D29" i="29"/>
  <c r="E29" i="29"/>
  <c r="E93" i="29"/>
  <c r="D30" i="29"/>
  <c r="E30" i="29"/>
  <c r="E94" i="29"/>
  <c r="D31" i="29"/>
  <c r="E31" i="29"/>
  <c r="E95" i="29"/>
  <c r="D32" i="29"/>
  <c r="E32" i="29"/>
  <c r="E96" i="29"/>
  <c r="D33" i="29"/>
  <c r="E33" i="29"/>
  <c r="E97" i="29"/>
  <c r="D34" i="29"/>
  <c r="E34" i="29"/>
  <c r="E98" i="29"/>
  <c r="D35" i="29"/>
  <c r="E35" i="29"/>
  <c r="E99" i="29"/>
  <c r="D36" i="29"/>
  <c r="E36" i="29"/>
  <c r="E100" i="29"/>
  <c r="D37" i="29"/>
  <c r="E37" i="29"/>
  <c r="E101" i="29"/>
  <c r="D11" i="29"/>
  <c r="E11" i="29"/>
  <c r="D12" i="29"/>
  <c r="E12" i="29"/>
  <c r="D13" i="29"/>
  <c r="E13" i="29"/>
  <c r="D14" i="29"/>
  <c r="E14" i="29"/>
  <c r="D15" i="29"/>
  <c r="E15" i="29"/>
  <c r="D16" i="29"/>
  <c r="E16" i="29"/>
  <c r="D17" i="29"/>
  <c r="E17" i="29"/>
  <c r="D18" i="29"/>
  <c r="E18" i="29"/>
  <c r="D19" i="29"/>
  <c r="E19" i="29"/>
  <c r="D20" i="29"/>
  <c r="E20" i="29"/>
  <c r="D21" i="29"/>
  <c r="E21" i="29"/>
  <c r="D22" i="29"/>
  <c r="E22" i="29"/>
  <c r="AE48" i="4"/>
  <c r="C13" i="33"/>
  <c r="C12" i="33"/>
  <c r="F26" i="29"/>
  <c r="G26" i="29"/>
  <c r="H26" i="29"/>
  <c r="I26" i="29"/>
  <c r="J26" i="29"/>
  <c r="K26" i="29"/>
  <c r="L26" i="29"/>
  <c r="M26" i="29"/>
  <c r="N26" i="29"/>
  <c r="O26" i="29"/>
  <c r="P26" i="29"/>
  <c r="Q26" i="29"/>
  <c r="R26" i="29"/>
  <c r="S26" i="29"/>
  <c r="T26" i="29"/>
  <c r="U26" i="29"/>
  <c r="V26" i="29"/>
  <c r="W26" i="29"/>
  <c r="X26" i="29"/>
  <c r="Y26" i="29"/>
  <c r="Z26" i="29"/>
  <c r="AA26" i="29"/>
  <c r="AB26" i="29"/>
  <c r="AC26" i="29"/>
  <c r="AC90" i="29"/>
  <c r="F27" i="29"/>
  <c r="G27" i="29"/>
  <c r="H27" i="29"/>
  <c r="I27" i="29"/>
  <c r="J27" i="29"/>
  <c r="K27" i="29"/>
  <c r="L27" i="29"/>
  <c r="M27" i="29"/>
  <c r="N27" i="29"/>
  <c r="O27" i="29"/>
  <c r="P27" i="29"/>
  <c r="Q27" i="29"/>
  <c r="R27" i="29"/>
  <c r="S27" i="29"/>
  <c r="T27" i="29"/>
  <c r="U27" i="29"/>
  <c r="V27" i="29"/>
  <c r="W27" i="29"/>
  <c r="X27" i="29"/>
  <c r="Y27" i="29"/>
  <c r="Z27" i="29"/>
  <c r="AA27" i="29"/>
  <c r="AB27" i="29"/>
  <c r="AC27" i="29"/>
  <c r="AC91" i="29"/>
  <c r="F28" i="29"/>
  <c r="G28" i="29"/>
  <c r="H28" i="29"/>
  <c r="I28" i="29"/>
  <c r="J28" i="29"/>
  <c r="K28" i="29"/>
  <c r="L28" i="29"/>
  <c r="M28" i="29"/>
  <c r="N28" i="29"/>
  <c r="O28" i="29"/>
  <c r="P28" i="29"/>
  <c r="Q28" i="29"/>
  <c r="R28" i="29"/>
  <c r="S28" i="29"/>
  <c r="T28" i="29"/>
  <c r="U28" i="29"/>
  <c r="V28" i="29"/>
  <c r="W28" i="29"/>
  <c r="X28" i="29"/>
  <c r="Y28" i="29"/>
  <c r="Z28" i="29"/>
  <c r="AA28" i="29"/>
  <c r="AB28" i="29"/>
  <c r="AC28" i="29"/>
  <c r="AC92" i="29"/>
  <c r="F29" i="29"/>
  <c r="G29" i="29"/>
  <c r="H29" i="29"/>
  <c r="I29" i="29"/>
  <c r="J29" i="29"/>
  <c r="K29" i="29"/>
  <c r="L29" i="29"/>
  <c r="M29" i="29"/>
  <c r="N29" i="29"/>
  <c r="O29" i="29"/>
  <c r="P29" i="29"/>
  <c r="Q29" i="29"/>
  <c r="R29" i="29"/>
  <c r="S29" i="29"/>
  <c r="T29" i="29"/>
  <c r="U29" i="29"/>
  <c r="V29" i="29"/>
  <c r="W29" i="29"/>
  <c r="X29" i="29"/>
  <c r="Y29" i="29"/>
  <c r="Z29" i="29"/>
  <c r="AA29" i="29"/>
  <c r="AB29" i="29"/>
  <c r="AC29" i="29"/>
  <c r="AC93" i="29"/>
  <c r="F30" i="29"/>
  <c r="G30" i="29"/>
  <c r="H30" i="29"/>
  <c r="I30" i="29"/>
  <c r="J30" i="29"/>
  <c r="K30" i="29"/>
  <c r="L30" i="29"/>
  <c r="M30" i="29"/>
  <c r="N30" i="29"/>
  <c r="O30" i="29"/>
  <c r="P30" i="29"/>
  <c r="Q30" i="29"/>
  <c r="R30" i="29"/>
  <c r="S30" i="29"/>
  <c r="T30" i="29"/>
  <c r="U30" i="29"/>
  <c r="V30" i="29"/>
  <c r="W30" i="29"/>
  <c r="X30" i="29"/>
  <c r="Y30" i="29"/>
  <c r="Z30" i="29"/>
  <c r="AA30" i="29"/>
  <c r="AB30" i="29"/>
  <c r="AC30" i="29"/>
  <c r="AC94" i="29"/>
  <c r="F31" i="29"/>
  <c r="G31" i="29"/>
  <c r="H31" i="29"/>
  <c r="I31" i="29"/>
  <c r="J31" i="29"/>
  <c r="K31" i="29"/>
  <c r="L31" i="29"/>
  <c r="M31" i="29"/>
  <c r="N31" i="29"/>
  <c r="O31" i="29"/>
  <c r="P31" i="29"/>
  <c r="Q31" i="29"/>
  <c r="R31" i="29"/>
  <c r="S31" i="29"/>
  <c r="T31" i="29"/>
  <c r="U31" i="29"/>
  <c r="V31" i="29"/>
  <c r="W31" i="29"/>
  <c r="X31" i="29"/>
  <c r="Y31" i="29"/>
  <c r="Z31" i="29"/>
  <c r="AA31" i="29"/>
  <c r="AB31" i="29"/>
  <c r="AC31" i="29"/>
  <c r="AC95" i="29"/>
  <c r="F32" i="29"/>
  <c r="G32" i="29"/>
  <c r="H32" i="29"/>
  <c r="I32" i="29"/>
  <c r="J32" i="29"/>
  <c r="K32" i="29"/>
  <c r="L32" i="29"/>
  <c r="M32" i="29"/>
  <c r="N32" i="29"/>
  <c r="O32" i="29"/>
  <c r="P32" i="29"/>
  <c r="Q32" i="29"/>
  <c r="R32" i="29"/>
  <c r="S32" i="29"/>
  <c r="T32" i="29"/>
  <c r="U32" i="29"/>
  <c r="V32" i="29"/>
  <c r="W32" i="29"/>
  <c r="X32" i="29"/>
  <c r="Y32" i="29"/>
  <c r="Z32" i="29"/>
  <c r="AA32" i="29"/>
  <c r="AB32" i="29"/>
  <c r="AC32" i="29"/>
  <c r="AC96" i="29"/>
  <c r="F33" i="29"/>
  <c r="G33" i="29"/>
  <c r="H33" i="29"/>
  <c r="I33" i="29"/>
  <c r="J33" i="29"/>
  <c r="K33" i="29"/>
  <c r="L33" i="29"/>
  <c r="M33" i="29"/>
  <c r="N33" i="29"/>
  <c r="O33" i="29"/>
  <c r="P33" i="29"/>
  <c r="Q33" i="29"/>
  <c r="R33" i="29"/>
  <c r="S33" i="29"/>
  <c r="T33" i="29"/>
  <c r="U33" i="29"/>
  <c r="V33" i="29"/>
  <c r="W33" i="29"/>
  <c r="X33" i="29"/>
  <c r="Y33" i="29"/>
  <c r="Z33" i="29"/>
  <c r="AA33" i="29"/>
  <c r="AB33" i="29"/>
  <c r="AC33" i="29"/>
  <c r="AC97" i="29"/>
  <c r="F34" i="29"/>
  <c r="G34" i="29"/>
  <c r="H34" i="29"/>
  <c r="I34" i="29"/>
  <c r="J34" i="29"/>
  <c r="K34" i="29"/>
  <c r="L34" i="29"/>
  <c r="M34" i="29"/>
  <c r="N34" i="29"/>
  <c r="O34" i="29"/>
  <c r="P34" i="29"/>
  <c r="Q34" i="29"/>
  <c r="R34" i="29"/>
  <c r="S34" i="29"/>
  <c r="T34" i="29"/>
  <c r="U34" i="29"/>
  <c r="V34" i="29"/>
  <c r="W34" i="29"/>
  <c r="X34" i="29"/>
  <c r="Y34" i="29"/>
  <c r="Z34" i="29"/>
  <c r="AA34" i="29"/>
  <c r="AB34" i="29"/>
  <c r="AC34" i="29"/>
  <c r="AC98" i="29"/>
  <c r="F35" i="29"/>
  <c r="G35" i="29"/>
  <c r="H35" i="29"/>
  <c r="I35" i="29"/>
  <c r="J35" i="29"/>
  <c r="K35" i="29"/>
  <c r="L35" i="29"/>
  <c r="M35" i="29"/>
  <c r="N35" i="29"/>
  <c r="O35" i="29"/>
  <c r="P35" i="29"/>
  <c r="Q35" i="29"/>
  <c r="R35" i="29"/>
  <c r="S35" i="29"/>
  <c r="T35" i="29"/>
  <c r="U35" i="29"/>
  <c r="V35" i="29"/>
  <c r="W35" i="29"/>
  <c r="X35" i="29"/>
  <c r="Y35" i="29"/>
  <c r="Z35" i="29"/>
  <c r="AA35" i="29"/>
  <c r="AB35" i="29"/>
  <c r="AC35" i="29"/>
  <c r="AC99" i="29"/>
  <c r="F36" i="29"/>
  <c r="G36" i="29"/>
  <c r="H36" i="29"/>
  <c r="I36" i="29"/>
  <c r="J36" i="29"/>
  <c r="K36" i="29"/>
  <c r="L36" i="29"/>
  <c r="M36" i="29"/>
  <c r="N36" i="29"/>
  <c r="O36" i="29"/>
  <c r="P36" i="29"/>
  <c r="Q36" i="29"/>
  <c r="R36" i="29"/>
  <c r="S36" i="29"/>
  <c r="T36" i="29"/>
  <c r="U36" i="29"/>
  <c r="V36" i="29"/>
  <c r="W36" i="29"/>
  <c r="X36" i="29"/>
  <c r="Y36" i="29"/>
  <c r="Z36" i="29"/>
  <c r="AA36" i="29"/>
  <c r="AB36" i="29"/>
  <c r="AC36" i="29"/>
  <c r="AC100" i="29"/>
  <c r="F37" i="29"/>
  <c r="G37" i="29"/>
  <c r="H37" i="29"/>
  <c r="I37" i="29"/>
  <c r="J37" i="29"/>
  <c r="K37" i="29"/>
  <c r="L37" i="29"/>
  <c r="M37" i="29"/>
  <c r="N37" i="29"/>
  <c r="O37" i="29"/>
  <c r="P37" i="29"/>
  <c r="Q37" i="29"/>
  <c r="R37" i="29"/>
  <c r="S37" i="29"/>
  <c r="T37" i="29"/>
  <c r="U37" i="29"/>
  <c r="V37" i="29"/>
  <c r="W37" i="29"/>
  <c r="X37" i="29"/>
  <c r="Y37" i="29"/>
  <c r="Z37" i="29"/>
  <c r="AA37" i="29"/>
  <c r="AB37" i="29"/>
  <c r="AC37" i="29"/>
  <c r="AC101" i="29"/>
  <c r="AC102" i="29"/>
  <c r="AD91" i="4" s="1"/>
  <c r="AB90" i="29"/>
  <c r="AB91" i="29"/>
  <c r="AB92" i="29"/>
  <c r="AB93" i="29"/>
  <c r="AB94" i="29"/>
  <c r="AB95" i="29"/>
  <c r="AB96" i="29"/>
  <c r="AB97" i="29"/>
  <c r="AB98" i="29"/>
  <c r="AB99" i="29"/>
  <c r="AB100" i="29"/>
  <c r="AB101" i="29"/>
  <c r="AA90" i="29"/>
  <c r="AA91" i="29"/>
  <c r="AA92" i="29"/>
  <c r="AA93" i="29"/>
  <c r="AA94" i="29"/>
  <c r="AA95" i="29"/>
  <c r="AA96" i="29"/>
  <c r="AA97" i="29"/>
  <c r="AA98" i="29"/>
  <c r="AA99" i="29"/>
  <c r="AA100" i="29"/>
  <c r="AA101" i="29"/>
  <c r="Z90" i="29"/>
  <c r="Z91" i="29"/>
  <c r="Z92" i="29"/>
  <c r="Z93" i="29"/>
  <c r="Z94" i="29"/>
  <c r="Z95" i="29"/>
  <c r="Z96" i="29"/>
  <c r="Z97" i="29"/>
  <c r="Z98" i="29"/>
  <c r="Z99" i="29"/>
  <c r="Z100" i="29"/>
  <c r="Z101" i="29"/>
  <c r="Y90" i="29"/>
  <c r="Y91" i="29"/>
  <c r="Y92" i="29"/>
  <c r="Y93" i="29"/>
  <c r="Y94" i="29"/>
  <c r="Y95" i="29"/>
  <c r="Y96" i="29"/>
  <c r="Y97" i="29"/>
  <c r="Y98" i="29"/>
  <c r="Y99" i="29"/>
  <c r="Y100" i="29"/>
  <c r="Y101" i="29"/>
  <c r="X90" i="29"/>
  <c r="X91" i="29"/>
  <c r="X92" i="29"/>
  <c r="X93" i="29"/>
  <c r="X94" i="29"/>
  <c r="X95" i="29"/>
  <c r="X96" i="29"/>
  <c r="X97" i="29"/>
  <c r="X98" i="29"/>
  <c r="X99" i="29"/>
  <c r="X100" i="29"/>
  <c r="X101" i="29"/>
  <c r="W90" i="29"/>
  <c r="W91" i="29"/>
  <c r="W92" i="29"/>
  <c r="W93" i="29"/>
  <c r="W94" i="29"/>
  <c r="W95" i="29"/>
  <c r="W96" i="29"/>
  <c r="W97" i="29"/>
  <c r="W98" i="29"/>
  <c r="W99" i="29"/>
  <c r="W100" i="29"/>
  <c r="W101" i="29"/>
  <c r="V90" i="29"/>
  <c r="V91" i="29"/>
  <c r="V92" i="29"/>
  <c r="V93" i="29"/>
  <c r="V94" i="29"/>
  <c r="V95" i="29"/>
  <c r="V96" i="29"/>
  <c r="V97" i="29"/>
  <c r="V98" i="29"/>
  <c r="V99" i="29"/>
  <c r="V100" i="29"/>
  <c r="V101" i="29"/>
  <c r="U90" i="29"/>
  <c r="U91" i="29"/>
  <c r="U92" i="29"/>
  <c r="U93" i="29"/>
  <c r="U94" i="29"/>
  <c r="U95" i="29"/>
  <c r="U96" i="29"/>
  <c r="U97" i="29"/>
  <c r="U98" i="29"/>
  <c r="U99" i="29"/>
  <c r="U100" i="29"/>
  <c r="U101" i="29"/>
  <c r="T90" i="29"/>
  <c r="T91" i="29"/>
  <c r="T92" i="29"/>
  <c r="T93" i="29"/>
  <c r="T94" i="29"/>
  <c r="T95" i="29"/>
  <c r="T96" i="29"/>
  <c r="T97" i="29"/>
  <c r="T98" i="29"/>
  <c r="T99" i="29"/>
  <c r="T100" i="29"/>
  <c r="T101" i="29"/>
  <c r="S90" i="29"/>
  <c r="S91" i="29"/>
  <c r="S92" i="29"/>
  <c r="S93" i="29"/>
  <c r="S94" i="29"/>
  <c r="S95" i="29"/>
  <c r="S96" i="29"/>
  <c r="S97" i="29"/>
  <c r="S98" i="29"/>
  <c r="S99" i="29"/>
  <c r="S100" i="29"/>
  <c r="S101" i="29"/>
  <c r="R90" i="29"/>
  <c r="R91" i="29"/>
  <c r="R92" i="29"/>
  <c r="R93" i="29"/>
  <c r="R94" i="29"/>
  <c r="R95" i="29"/>
  <c r="R96" i="29"/>
  <c r="R97" i="29"/>
  <c r="R98" i="29"/>
  <c r="R99" i="29"/>
  <c r="R100" i="29"/>
  <c r="R101" i="29"/>
  <c r="Q90" i="29"/>
  <c r="Q91" i="29"/>
  <c r="Q92" i="29"/>
  <c r="Q93" i="29"/>
  <c r="Q94" i="29"/>
  <c r="Q95" i="29"/>
  <c r="Q96" i="29"/>
  <c r="Q97" i="29"/>
  <c r="Q98" i="29"/>
  <c r="Q99" i="29"/>
  <c r="Q100" i="29"/>
  <c r="Q101" i="29"/>
  <c r="P90" i="29"/>
  <c r="P91" i="29"/>
  <c r="P92" i="29"/>
  <c r="P93" i="29"/>
  <c r="P94" i="29"/>
  <c r="P95" i="29"/>
  <c r="P96" i="29"/>
  <c r="P97" i="29"/>
  <c r="P98" i="29"/>
  <c r="P99" i="29"/>
  <c r="P100" i="29"/>
  <c r="P101" i="29"/>
  <c r="O90" i="29"/>
  <c r="O91" i="29"/>
  <c r="O92" i="29"/>
  <c r="O93" i="29"/>
  <c r="O94" i="29"/>
  <c r="O95" i="29"/>
  <c r="O96" i="29"/>
  <c r="O97" i="29"/>
  <c r="O98" i="29"/>
  <c r="O99" i="29"/>
  <c r="O100" i="29"/>
  <c r="O101" i="29"/>
  <c r="N90" i="29"/>
  <c r="N91" i="29"/>
  <c r="N92" i="29"/>
  <c r="N93" i="29"/>
  <c r="N94" i="29"/>
  <c r="N95" i="29"/>
  <c r="N96" i="29"/>
  <c r="N97" i="29"/>
  <c r="N98" i="29"/>
  <c r="N99" i="29"/>
  <c r="N100" i="29"/>
  <c r="N101" i="29"/>
  <c r="M90" i="29"/>
  <c r="M91" i="29"/>
  <c r="M92" i="29"/>
  <c r="M93" i="29"/>
  <c r="M94" i="29"/>
  <c r="M95" i="29"/>
  <c r="M96" i="29"/>
  <c r="M97" i="29"/>
  <c r="M98" i="29"/>
  <c r="M99" i="29"/>
  <c r="M100" i="29"/>
  <c r="M101" i="29"/>
  <c r="L90" i="29"/>
  <c r="L91" i="29"/>
  <c r="L92" i="29"/>
  <c r="L93" i="29"/>
  <c r="L94" i="29"/>
  <c r="L95" i="29"/>
  <c r="L96" i="29"/>
  <c r="L97" i="29"/>
  <c r="L98" i="29"/>
  <c r="L99" i="29"/>
  <c r="L100" i="29"/>
  <c r="L101" i="29"/>
  <c r="K90" i="29"/>
  <c r="K91" i="29"/>
  <c r="K92" i="29"/>
  <c r="K93" i="29"/>
  <c r="K94" i="29"/>
  <c r="K95" i="29"/>
  <c r="K96" i="29"/>
  <c r="K97" i="29"/>
  <c r="K98" i="29"/>
  <c r="K99" i="29"/>
  <c r="K100" i="29"/>
  <c r="K101" i="29"/>
  <c r="J90" i="29"/>
  <c r="J91" i="29"/>
  <c r="J92" i="29"/>
  <c r="J93" i="29"/>
  <c r="J94" i="29"/>
  <c r="J95" i="29"/>
  <c r="J96" i="29"/>
  <c r="J97" i="29"/>
  <c r="J98" i="29"/>
  <c r="J99" i="29"/>
  <c r="J100" i="29"/>
  <c r="J101" i="29"/>
  <c r="I90" i="29"/>
  <c r="I91" i="29"/>
  <c r="I92" i="29"/>
  <c r="I93" i="29"/>
  <c r="I94" i="29"/>
  <c r="I95" i="29"/>
  <c r="I96" i="29"/>
  <c r="I97" i="29"/>
  <c r="I98" i="29"/>
  <c r="I99" i="29"/>
  <c r="I100" i="29"/>
  <c r="I101" i="29"/>
  <c r="H90" i="29"/>
  <c r="H91" i="29"/>
  <c r="H92" i="29"/>
  <c r="H93" i="29"/>
  <c r="H94" i="29"/>
  <c r="H95" i="29"/>
  <c r="H96" i="29"/>
  <c r="H97" i="29"/>
  <c r="H98" i="29"/>
  <c r="H99" i="29"/>
  <c r="H100" i="29"/>
  <c r="H101" i="29"/>
  <c r="G90" i="29"/>
  <c r="G91" i="29"/>
  <c r="G92" i="29"/>
  <c r="G93" i="29"/>
  <c r="G94" i="29"/>
  <c r="G95" i="29"/>
  <c r="G96" i="29"/>
  <c r="G97" i="29"/>
  <c r="G98" i="29"/>
  <c r="G99" i="29"/>
  <c r="G100" i="29"/>
  <c r="G101" i="29"/>
  <c r="F90" i="29"/>
  <c r="F91" i="29"/>
  <c r="F92" i="29"/>
  <c r="F93" i="29"/>
  <c r="F94" i="29"/>
  <c r="F95" i="29"/>
  <c r="F96" i="29"/>
  <c r="F97" i="29"/>
  <c r="F98" i="29"/>
  <c r="F99" i="29"/>
  <c r="F100" i="29"/>
  <c r="F101" i="29"/>
  <c r="F22" i="29"/>
  <c r="G22" i="29"/>
  <c r="H22" i="29"/>
  <c r="I22" i="29"/>
  <c r="J22" i="29"/>
  <c r="K22" i="29"/>
  <c r="L22" i="29"/>
  <c r="M22" i="29"/>
  <c r="N22" i="29"/>
  <c r="O22" i="29"/>
  <c r="P22" i="29"/>
  <c r="Q22" i="29"/>
  <c r="R22" i="29"/>
  <c r="S22" i="29"/>
  <c r="T22" i="29"/>
  <c r="U22" i="29"/>
  <c r="V22" i="29"/>
  <c r="W22" i="29"/>
  <c r="X22" i="29"/>
  <c r="Y22" i="29"/>
  <c r="Z22" i="29"/>
  <c r="AA22" i="29"/>
  <c r="AB22" i="29"/>
  <c r="AC22" i="29"/>
  <c r="AC85" i="29"/>
  <c r="AC69" i="29" s="1"/>
  <c r="AB85" i="29"/>
  <c r="AB69" i="29" s="1"/>
  <c r="AA85" i="29"/>
  <c r="AA69" i="29" s="1"/>
  <c r="Z85" i="29"/>
  <c r="Z69" i="29" s="1"/>
  <c r="Y85" i="29"/>
  <c r="Y69" i="29" s="1"/>
  <c r="X85" i="29"/>
  <c r="X69" i="29" s="1"/>
  <c r="W85" i="29"/>
  <c r="W69" i="29" s="1"/>
  <c r="V85" i="29"/>
  <c r="V69" i="29" s="1"/>
  <c r="U85" i="29"/>
  <c r="U69" i="29" s="1"/>
  <c r="T85" i="29"/>
  <c r="T69" i="29" s="1"/>
  <c r="S85" i="29"/>
  <c r="S69" i="29" s="1"/>
  <c r="R85" i="29"/>
  <c r="R69" i="29" s="1"/>
  <c r="Q85" i="29"/>
  <c r="Q69" i="29" s="1"/>
  <c r="P85" i="29"/>
  <c r="P69" i="29" s="1"/>
  <c r="O85" i="29"/>
  <c r="O69" i="29" s="1"/>
  <c r="N85" i="29"/>
  <c r="N69" i="29" s="1"/>
  <c r="M85" i="29"/>
  <c r="M69" i="29" s="1"/>
  <c r="L85" i="29"/>
  <c r="L69" i="29" s="1"/>
  <c r="K85" i="29"/>
  <c r="K69" i="29" s="1"/>
  <c r="J85" i="29"/>
  <c r="J69" i="29" s="1"/>
  <c r="I85" i="29"/>
  <c r="I69" i="29" s="1"/>
  <c r="H85" i="29"/>
  <c r="H69" i="29" s="1"/>
  <c r="G85" i="29"/>
  <c r="G69" i="29" s="1"/>
  <c r="F85" i="29"/>
  <c r="F69" i="29" s="1"/>
  <c r="F21" i="29"/>
  <c r="G21" i="29"/>
  <c r="H21" i="29"/>
  <c r="I21" i="29"/>
  <c r="J21" i="29"/>
  <c r="K21" i="29"/>
  <c r="L21" i="29"/>
  <c r="M21" i="29"/>
  <c r="N21" i="29"/>
  <c r="O21" i="29"/>
  <c r="P21" i="29"/>
  <c r="Q21" i="29"/>
  <c r="R21" i="29"/>
  <c r="S21" i="29"/>
  <c r="T21" i="29"/>
  <c r="U21" i="29"/>
  <c r="V21" i="29"/>
  <c r="W21" i="29"/>
  <c r="X21" i="29"/>
  <c r="Y21" i="29"/>
  <c r="Z21" i="29"/>
  <c r="AA21" i="29"/>
  <c r="AB21" i="29"/>
  <c r="AC21" i="29"/>
  <c r="AC84" i="29"/>
  <c r="AC68" i="29" s="1"/>
  <c r="AB84" i="29"/>
  <c r="AB68" i="29" s="1"/>
  <c r="AA84" i="29"/>
  <c r="AA68" i="29" s="1"/>
  <c r="Z84" i="29"/>
  <c r="Z68" i="29" s="1"/>
  <c r="Y84" i="29"/>
  <c r="Y68" i="29" s="1"/>
  <c r="X84" i="29"/>
  <c r="X68" i="29" s="1"/>
  <c r="W84" i="29"/>
  <c r="W68" i="29" s="1"/>
  <c r="V84" i="29"/>
  <c r="V68" i="29" s="1"/>
  <c r="U84" i="29"/>
  <c r="U68" i="29" s="1"/>
  <c r="T84" i="29"/>
  <c r="T68" i="29" s="1"/>
  <c r="S84" i="29"/>
  <c r="S68" i="29" s="1"/>
  <c r="R84" i="29"/>
  <c r="R68" i="29" s="1"/>
  <c r="Q84" i="29"/>
  <c r="Q68" i="29" s="1"/>
  <c r="P84" i="29"/>
  <c r="P68" i="29" s="1"/>
  <c r="O84" i="29"/>
  <c r="O68" i="29" s="1"/>
  <c r="N84" i="29"/>
  <c r="N68" i="29" s="1"/>
  <c r="M84" i="29"/>
  <c r="M68" i="29" s="1"/>
  <c r="L84" i="29"/>
  <c r="L68" i="29" s="1"/>
  <c r="K84" i="29"/>
  <c r="K68" i="29" s="1"/>
  <c r="J84" i="29"/>
  <c r="J68" i="29" s="1"/>
  <c r="I84" i="29"/>
  <c r="I68" i="29" s="1"/>
  <c r="H84" i="29"/>
  <c r="H68" i="29" s="1"/>
  <c r="G84" i="29"/>
  <c r="G68" i="29" s="1"/>
  <c r="F84" i="29"/>
  <c r="F68" i="29" s="1"/>
  <c r="F20" i="29"/>
  <c r="G20" i="29"/>
  <c r="H20" i="29"/>
  <c r="I20" i="29"/>
  <c r="J20" i="29"/>
  <c r="K20" i="29"/>
  <c r="L20" i="29"/>
  <c r="M20" i="29"/>
  <c r="N20" i="29"/>
  <c r="O20" i="29"/>
  <c r="P20" i="29"/>
  <c r="Q20" i="29"/>
  <c r="R20" i="29"/>
  <c r="S20" i="29"/>
  <c r="T20" i="29"/>
  <c r="U20" i="29"/>
  <c r="V20" i="29"/>
  <c r="W20" i="29"/>
  <c r="X20" i="29"/>
  <c r="Y20" i="29"/>
  <c r="Z20" i="29"/>
  <c r="AA20" i="29"/>
  <c r="AB20" i="29"/>
  <c r="AC20" i="29"/>
  <c r="AC83" i="29"/>
  <c r="AC67" i="29" s="1"/>
  <c r="AB83" i="29"/>
  <c r="AB67" i="29" s="1"/>
  <c r="AA83" i="29"/>
  <c r="AA67" i="29" s="1"/>
  <c r="Z83" i="29"/>
  <c r="Z67" i="29" s="1"/>
  <c r="Y83" i="29"/>
  <c r="Y67" i="29" s="1"/>
  <c r="X83" i="29"/>
  <c r="X67" i="29" s="1"/>
  <c r="W83" i="29"/>
  <c r="W67" i="29" s="1"/>
  <c r="V83" i="29"/>
  <c r="V67" i="29" s="1"/>
  <c r="U83" i="29"/>
  <c r="U67" i="29" s="1"/>
  <c r="T83" i="29"/>
  <c r="T67" i="29" s="1"/>
  <c r="S83" i="29"/>
  <c r="S67" i="29" s="1"/>
  <c r="R83" i="29"/>
  <c r="R67" i="29" s="1"/>
  <c r="Q83" i="29"/>
  <c r="Q67" i="29" s="1"/>
  <c r="P83" i="29"/>
  <c r="P67" i="29" s="1"/>
  <c r="O83" i="29"/>
  <c r="O67" i="29" s="1"/>
  <c r="N83" i="29"/>
  <c r="N67" i="29" s="1"/>
  <c r="M83" i="29"/>
  <c r="M67" i="29" s="1"/>
  <c r="L83" i="29"/>
  <c r="L67" i="29" s="1"/>
  <c r="K83" i="29"/>
  <c r="K67" i="29" s="1"/>
  <c r="J83" i="29"/>
  <c r="J67" i="29" s="1"/>
  <c r="I83" i="29"/>
  <c r="I67" i="29" s="1"/>
  <c r="H83" i="29"/>
  <c r="H67" i="29" s="1"/>
  <c r="G83" i="29"/>
  <c r="G67" i="29" s="1"/>
  <c r="F83" i="29"/>
  <c r="F67" i="29" s="1"/>
  <c r="F19" i="29"/>
  <c r="G19" i="29"/>
  <c r="H19" i="29"/>
  <c r="I19" i="29"/>
  <c r="J19" i="29"/>
  <c r="K19" i="29"/>
  <c r="L19" i="29"/>
  <c r="M19" i="29"/>
  <c r="N19" i="29"/>
  <c r="O19" i="29"/>
  <c r="P19" i="29"/>
  <c r="Q19" i="29"/>
  <c r="R19" i="29"/>
  <c r="S19" i="29"/>
  <c r="T19" i="29"/>
  <c r="U19" i="29"/>
  <c r="V19" i="29"/>
  <c r="W19" i="29"/>
  <c r="X19" i="29"/>
  <c r="Y19" i="29"/>
  <c r="Z19" i="29"/>
  <c r="AA19" i="29"/>
  <c r="AB19" i="29"/>
  <c r="AC19" i="29"/>
  <c r="AC82" i="29"/>
  <c r="AC66" i="29" s="1"/>
  <c r="AB82" i="29"/>
  <c r="AB66" i="29" s="1"/>
  <c r="AA82" i="29"/>
  <c r="AA66" i="29" s="1"/>
  <c r="Z82" i="29"/>
  <c r="Z66" i="29" s="1"/>
  <c r="Y82" i="29"/>
  <c r="Y66" i="29" s="1"/>
  <c r="X82" i="29"/>
  <c r="X66" i="29" s="1"/>
  <c r="W82" i="29"/>
  <c r="W66" i="29" s="1"/>
  <c r="V82" i="29"/>
  <c r="V66" i="29" s="1"/>
  <c r="U82" i="29"/>
  <c r="U66" i="29" s="1"/>
  <c r="T82" i="29"/>
  <c r="T66" i="29" s="1"/>
  <c r="S82" i="29"/>
  <c r="S66" i="29" s="1"/>
  <c r="R82" i="29"/>
  <c r="R66" i="29" s="1"/>
  <c r="Q82" i="29"/>
  <c r="Q66" i="29" s="1"/>
  <c r="P82" i="29"/>
  <c r="P66" i="29" s="1"/>
  <c r="O82" i="29"/>
  <c r="O66" i="29" s="1"/>
  <c r="N82" i="29"/>
  <c r="N66" i="29" s="1"/>
  <c r="M82" i="29"/>
  <c r="M66" i="29" s="1"/>
  <c r="L82" i="29"/>
  <c r="L66" i="29" s="1"/>
  <c r="K82" i="29"/>
  <c r="K66" i="29" s="1"/>
  <c r="J82" i="29"/>
  <c r="J66" i="29" s="1"/>
  <c r="I82" i="29"/>
  <c r="I66" i="29" s="1"/>
  <c r="H82" i="29"/>
  <c r="H66" i="29" s="1"/>
  <c r="G82" i="29"/>
  <c r="G66" i="29" s="1"/>
  <c r="F82" i="29"/>
  <c r="F66" i="29" s="1"/>
  <c r="F18" i="29"/>
  <c r="G18" i="29"/>
  <c r="H18" i="29"/>
  <c r="I18" i="29"/>
  <c r="J18" i="29"/>
  <c r="K18" i="29"/>
  <c r="L18" i="29"/>
  <c r="M18" i="29"/>
  <c r="N18" i="29"/>
  <c r="O18" i="29"/>
  <c r="P18" i="29"/>
  <c r="Q18" i="29"/>
  <c r="R18" i="29"/>
  <c r="S18" i="29"/>
  <c r="T18" i="29"/>
  <c r="U18" i="29"/>
  <c r="V18" i="29"/>
  <c r="W18" i="29"/>
  <c r="X18" i="29"/>
  <c r="Y18" i="29"/>
  <c r="Z18" i="29"/>
  <c r="AA18" i="29"/>
  <c r="AB18" i="29"/>
  <c r="AC18" i="29"/>
  <c r="AC81" i="29"/>
  <c r="AC65" i="29" s="1"/>
  <c r="AB81" i="29"/>
  <c r="AB65" i="29" s="1"/>
  <c r="AA81" i="29"/>
  <c r="AA65" i="29" s="1"/>
  <c r="Z81" i="29"/>
  <c r="Z65" i="29" s="1"/>
  <c r="Y81" i="29"/>
  <c r="Y65" i="29" s="1"/>
  <c r="X81" i="29"/>
  <c r="X65" i="29" s="1"/>
  <c r="W81" i="29"/>
  <c r="W65" i="29" s="1"/>
  <c r="V81" i="29"/>
  <c r="V65" i="29" s="1"/>
  <c r="U81" i="29"/>
  <c r="U65" i="29" s="1"/>
  <c r="T81" i="29"/>
  <c r="T65" i="29" s="1"/>
  <c r="S81" i="29"/>
  <c r="S65" i="29" s="1"/>
  <c r="R81" i="29"/>
  <c r="R65" i="29" s="1"/>
  <c r="Q81" i="29"/>
  <c r="Q65" i="29" s="1"/>
  <c r="P81" i="29"/>
  <c r="P65" i="29" s="1"/>
  <c r="O81" i="29"/>
  <c r="O65" i="29" s="1"/>
  <c r="N81" i="29"/>
  <c r="N65" i="29" s="1"/>
  <c r="M81" i="29"/>
  <c r="M65" i="29" s="1"/>
  <c r="L81" i="29"/>
  <c r="L65" i="29" s="1"/>
  <c r="K81" i="29"/>
  <c r="K65" i="29" s="1"/>
  <c r="J81" i="29"/>
  <c r="J65" i="29" s="1"/>
  <c r="I81" i="29"/>
  <c r="I65" i="29" s="1"/>
  <c r="H81" i="29"/>
  <c r="H65" i="29" s="1"/>
  <c r="G81" i="29"/>
  <c r="G65" i="29" s="1"/>
  <c r="F81" i="29"/>
  <c r="F65" i="29" s="1"/>
  <c r="F17" i="29"/>
  <c r="G17" i="29"/>
  <c r="H17" i="29"/>
  <c r="I17" i="29"/>
  <c r="J17" i="29"/>
  <c r="K17" i="29"/>
  <c r="L17" i="29"/>
  <c r="M17" i="29"/>
  <c r="N17" i="29"/>
  <c r="O17" i="29"/>
  <c r="P17" i="29"/>
  <c r="Q17" i="29"/>
  <c r="R17" i="29"/>
  <c r="S17" i="29"/>
  <c r="T17" i="29"/>
  <c r="U17" i="29"/>
  <c r="V17" i="29"/>
  <c r="W17" i="29"/>
  <c r="X17" i="29"/>
  <c r="Y17" i="29"/>
  <c r="Z17" i="29"/>
  <c r="AA17" i="29"/>
  <c r="AB17" i="29"/>
  <c r="AC17" i="29"/>
  <c r="AC80" i="29"/>
  <c r="AC64" i="29" s="1"/>
  <c r="AB80" i="29"/>
  <c r="AB64" i="29" s="1"/>
  <c r="AA80" i="29"/>
  <c r="AA64" i="29" s="1"/>
  <c r="Z80" i="29"/>
  <c r="Z64" i="29" s="1"/>
  <c r="Y80" i="29"/>
  <c r="Y64" i="29" s="1"/>
  <c r="X80" i="29"/>
  <c r="X64" i="29" s="1"/>
  <c r="W80" i="29"/>
  <c r="W64" i="29" s="1"/>
  <c r="V80" i="29"/>
  <c r="V64" i="29" s="1"/>
  <c r="U80" i="29"/>
  <c r="U64" i="29" s="1"/>
  <c r="T80" i="29"/>
  <c r="T64" i="29" s="1"/>
  <c r="S80" i="29"/>
  <c r="S64" i="29" s="1"/>
  <c r="R80" i="29"/>
  <c r="R64" i="29" s="1"/>
  <c r="Q80" i="29"/>
  <c r="Q64" i="29" s="1"/>
  <c r="P80" i="29"/>
  <c r="P64" i="29" s="1"/>
  <c r="O80" i="29"/>
  <c r="O64" i="29" s="1"/>
  <c r="N80" i="29"/>
  <c r="N64" i="29" s="1"/>
  <c r="M80" i="29"/>
  <c r="M64" i="29" s="1"/>
  <c r="L80" i="29"/>
  <c r="L64" i="29" s="1"/>
  <c r="K80" i="29"/>
  <c r="K64" i="29" s="1"/>
  <c r="J80" i="29"/>
  <c r="J64" i="29" s="1"/>
  <c r="I80" i="29"/>
  <c r="I64" i="29" s="1"/>
  <c r="H80" i="29"/>
  <c r="H64" i="29" s="1"/>
  <c r="G80" i="29"/>
  <c r="G64" i="29" s="1"/>
  <c r="F80" i="29"/>
  <c r="F64" i="29" s="1"/>
  <c r="F16" i="29"/>
  <c r="G16" i="29"/>
  <c r="H16" i="29"/>
  <c r="I16" i="29"/>
  <c r="J16" i="29"/>
  <c r="K16" i="29"/>
  <c r="L16" i="29"/>
  <c r="M16" i="29"/>
  <c r="N16" i="29"/>
  <c r="O16" i="29"/>
  <c r="P16" i="29"/>
  <c r="Q16" i="29"/>
  <c r="R16" i="29"/>
  <c r="S16" i="29"/>
  <c r="T16" i="29"/>
  <c r="U16" i="29"/>
  <c r="V16" i="29"/>
  <c r="W16" i="29"/>
  <c r="X16" i="29"/>
  <c r="Y16" i="29"/>
  <c r="Z16" i="29"/>
  <c r="AA16" i="29"/>
  <c r="AB16" i="29"/>
  <c r="AC16" i="29"/>
  <c r="AC79" i="29"/>
  <c r="AC63" i="29" s="1"/>
  <c r="AB79" i="29"/>
  <c r="AB63" i="29" s="1"/>
  <c r="AA79" i="29"/>
  <c r="AA63" i="29" s="1"/>
  <c r="Z79" i="29"/>
  <c r="Z63" i="29" s="1"/>
  <c r="Y79" i="29"/>
  <c r="Y63" i="29" s="1"/>
  <c r="X79" i="29"/>
  <c r="X63" i="29" s="1"/>
  <c r="W79" i="29"/>
  <c r="W63" i="29" s="1"/>
  <c r="V79" i="29"/>
  <c r="V63" i="29" s="1"/>
  <c r="U79" i="29"/>
  <c r="U63" i="29" s="1"/>
  <c r="T79" i="29"/>
  <c r="T63" i="29" s="1"/>
  <c r="S79" i="29"/>
  <c r="S63" i="29" s="1"/>
  <c r="R79" i="29"/>
  <c r="R63" i="29" s="1"/>
  <c r="Q79" i="29"/>
  <c r="Q63" i="29" s="1"/>
  <c r="P79" i="29"/>
  <c r="P63" i="29" s="1"/>
  <c r="O79" i="29"/>
  <c r="O63" i="29" s="1"/>
  <c r="N79" i="29"/>
  <c r="N63" i="29" s="1"/>
  <c r="M79" i="29"/>
  <c r="M63" i="29" s="1"/>
  <c r="L79" i="29"/>
  <c r="L63" i="29" s="1"/>
  <c r="K79" i="29"/>
  <c r="K63" i="29" s="1"/>
  <c r="J79" i="29"/>
  <c r="J63" i="29" s="1"/>
  <c r="I79" i="29"/>
  <c r="I63" i="29" s="1"/>
  <c r="H79" i="29"/>
  <c r="H63" i="29" s="1"/>
  <c r="G79" i="29"/>
  <c r="G63" i="29" s="1"/>
  <c r="F79" i="29"/>
  <c r="F63" i="29" s="1"/>
  <c r="F15" i="29"/>
  <c r="G15" i="29"/>
  <c r="H15" i="29"/>
  <c r="I15" i="29"/>
  <c r="J15" i="29"/>
  <c r="K15" i="29"/>
  <c r="L15" i="29"/>
  <c r="M15" i="29"/>
  <c r="N15" i="29"/>
  <c r="O15" i="29"/>
  <c r="P15" i="29"/>
  <c r="Q15" i="29"/>
  <c r="R15" i="29"/>
  <c r="S15" i="29"/>
  <c r="T15" i="29"/>
  <c r="U15" i="29"/>
  <c r="V15" i="29"/>
  <c r="W15" i="29"/>
  <c r="X15" i="29"/>
  <c r="Y15" i="29"/>
  <c r="Z15" i="29"/>
  <c r="AA15" i="29"/>
  <c r="AB15" i="29"/>
  <c r="AC15" i="29"/>
  <c r="AC78" i="29"/>
  <c r="AC62" i="29" s="1"/>
  <c r="AB78" i="29"/>
  <c r="AB62" i="29" s="1"/>
  <c r="AA78" i="29"/>
  <c r="AA62" i="29" s="1"/>
  <c r="Z78" i="29"/>
  <c r="Z62" i="29" s="1"/>
  <c r="Y78" i="29"/>
  <c r="Y62" i="29" s="1"/>
  <c r="X78" i="29"/>
  <c r="X62" i="29" s="1"/>
  <c r="W78" i="29"/>
  <c r="W62" i="29" s="1"/>
  <c r="V78" i="29"/>
  <c r="V62" i="29" s="1"/>
  <c r="U78" i="29"/>
  <c r="U62" i="29" s="1"/>
  <c r="T78" i="29"/>
  <c r="T62" i="29" s="1"/>
  <c r="S78" i="29"/>
  <c r="S62" i="29" s="1"/>
  <c r="R78" i="29"/>
  <c r="R62" i="29" s="1"/>
  <c r="Q78" i="29"/>
  <c r="Q62" i="29" s="1"/>
  <c r="P78" i="29"/>
  <c r="P62" i="29" s="1"/>
  <c r="O78" i="29"/>
  <c r="O62" i="29" s="1"/>
  <c r="N78" i="29"/>
  <c r="N62" i="29" s="1"/>
  <c r="M78" i="29"/>
  <c r="M62" i="29" s="1"/>
  <c r="L78" i="29"/>
  <c r="L62" i="29" s="1"/>
  <c r="K78" i="29"/>
  <c r="K62" i="29" s="1"/>
  <c r="J78" i="29"/>
  <c r="J62" i="29" s="1"/>
  <c r="I78" i="29"/>
  <c r="I62" i="29" s="1"/>
  <c r="H78" i="29"/>
  <c r="H62" i="29" s="1"/>
  <c r="G78" i="29"/>
  <c r="G62" i="29" s="1"/>
  <c r="F78" i="29"/>
  <c r="F62" i="29" s="1"/>
  <c r="F14" i="29"/>
  <c r="G14" i="29"/>
  <c r="H14" i="29"/>
  <c r="I14" i="29"/>
  <c r="J14" i="29"/>
  <c r="K14" i="29"/>
  <c r="L14" i="29"/>
  <c r="M14" i="29"/>
  <c r="N14" i="29"/>
  <c r="O14" i="29"/>
  <c r="P14" i="29"/>
  <c r="Q14" i="29"/>
  <c r="R14" i="29"/>
  <c r="S14" i="29"/>
  <c r="T14" i="29"/>
  <c r="U14" i="29"/>
  <c r="V14" i="29"/>
  <c r="W14" i="29"/>
  <c r="X14" i="29"/>
  <c r="Y14" i="29"/>
  <c r="Z14" i="29"/>
  <c r="AA14" i="29"/>
  <c r="AB14" i="29"/>
  <c r="AC14" i="29"/>
  <c r="AC77" i="29"/>
  <c r="AC61" i="29" s="1"/>
  <c r="AB77" i="29"/>
  <c r="AB61" i="29" s="1"/>
  <c r="AA77" i="29"/>
  <c r="AA61" i="29" s="1"/>
  <c r="Z77" i="29"/>
  <c r="Z61" i="29" s="1"/>
  <c r="Y77" i="29"/>
  <c r="Y61" i="29" s="1"/>
  <c r="X77" i="29"/>
  <c r="X61" i="29" s="1"/>
  <c r="W77" i="29"/>
  <c r="W61" i="29" s="1"/>
  <c r="V77" i="29"/>
  <c r="V61" i="29" s="1"/>
  <c r="U77" i="29"/>
  <c r="U61" i="29" s="1"/>
  <c r="T77" i="29"/>
  <c r="T61" i="29" s="1"/>
  <c r="S77" i="29"/>
  <c r="S61" i="29" s="1"/>
  <c r="R77" i="29"/>
  <c r="R61" i="29" s="1"/>
  <c r="Q77" i="29"/>
  <c r="Q61" i="29" s="1"/>
  <c r="P77" i="29"/>
  <c r="P61" i="29" s="1"/>
  <c r="O77" i="29"/>
  <c r="O61" i="29" s="1"/>
  <c r="N77" i="29"/>
  <c r="N61" i="29" s="1"/>
  <c r="M77" i="29"/>
  <c r="M61" i="29" s="1"/>
  <c r="L77" i="29"/>
  <c r="L61" i="29" s="1"/>
  <c r="K77" i="29"/>
  <c r="K61" i="29" s="1"/>
  <c r="J77" i="29"/>
  <c r="J61" i="29" s="1"/>
  <c r="I77" i="29"/>
  <c r="I61" i="29" s="1"/>
  <c r="H77" i="29"/>
  <c r="H61" i="29" s="1"/>
  <c r="G77" i="29"/>
  <c r="G61" i="29" s="1"/>
  <c r="F77" i="29"/>
  <c r="F61" i="29" s="1"/>
  <c r="F13" i="29"/>
  <c r="G13" i="29"/>
  <c r="H13" i="29"/>
  <c r="I13" i="29"/>
  <c r="J13" i="29"/>
  <c r="K13" i="29"/>
  <c r="L13" i="29"/>
  <c r="M13" i="29"/>
  <c r="N13" i="29"/>
  <c r="O13" i="29"/>
  <c r="P13" i="29"/>
  <c r="Q13" i="29"/>
  <c r="R13" i="29"/>
  <c r="S13" i="29"/>
  <c r="T13" i="29"/>
  <c r="U13" i="29"/>
  <c r="V13" i="29"/>
  <c r="W13" i="29"/>
  <c r="X13" i="29"/>
  <c r="Y13" i="29"/>
  <c r="Z13" i="29"/>
  <c r="AA13" i="29"/>
  <c r="AB13" i="29"/>
  <c r="AC13" i="29"/>
  <c r="AC76" i="29"/>
  <c r="AC60" i="29" s="1"/>
  <c r="AB76" i="29"/>
  <c r="AB60" i="29" s="1"/>
  <c r="AA76" i="29"/>
  <c r="AA60" i="29" s="1"/>
  <c r="Z76" i="29"/>
  <c r="Z60" i="29" s="1"/>
  <c r="Y76" i="29"/>
  <c r="Y60" i="29" s="1"/>
  <c r="X76" i="29"/>
  <c r="X60" i="29" s="1"/>
  <c r="W76" i="29"/>
  <c r="W60" i="29" s="1"/>
  <c r="V76" i="29"/>
  <c r="V60" i="29" s="1"/>
  <c r="U76" i="29"/>
  <c r="U60" i="29" s="1"/>
  <c r="T76" i="29"/>
  <c r="T60" i="29" s="1"/>
  <c r="S76" i="29"/>
  <c r="S60" i="29" s="1"/>
  <c r="R76" i="29"/>
  <c r="R60" i="29" s="1"/>
  <c r="Q76" i="29"/>
  <c r="Q60" i="29" s="1"/>
  <c r="P76" i="29"/>
  <c r="P60" i="29" s="1"/>
  <c r="O76" i="29"/>
  <c r="O60" i="29" s="1"/>
  <c r="N76" i="29"/>
  <c r="N60" i="29" s="1"/>
  <c r="M76" i="29"/>
  <c r="M60" i="29" s="1"/>
  <c r="L76" i="29"/>
  <c r="L60" i="29" s="1"/>
  <c r="K76" i="29"/>
  <c r="K60" i="29" s="1"/>
  <c r="J76" i="29"/>
  <c r="J60" i="29" s="1"/>
  <c r="I76" i="29"/>
  <c r="I60" i="29" s="1"/>
  <c r="H76" i="29"/>
  <c r="H60" i="29" s="1"/>
  <c r="G76" i="29"/>
  <c r="G60" i="29" s="1"/>
  <c r="F76" i="29"/>
  <c r="F60" i="29" s="1"/>
  <c r="F12" i="29"/>
  <c r="G12" i="29"/>
  <c r="H12" i="29"/>
  <c r="I12" i="29"/>
  <c r="J12" i="29"/>
  <c r="K12" i="29"/>
  <c r="L12" i="29"/>
  <c r="M12" i="29"/>
  <c r="N12" i="29"/>
  <c r="O12" i="29"/>
  <c r="P12" i="29"/>
  <c r="Q12" i="29"/>
  <c r="R12" i="29"/>
  <c r="S12" i="29"/>
  <c r="T12" i="29"/>
  <c r="U12" i="29"/>
  <c r="V12" i="29"/>
  <c r="W12" i="29"/>
  <c r="X12" i="29"/>
  <c r="Y12" i="29"/>
  <c r="Z12" i="29"/>
  <c r="AA12" i="29"/>
  <c r="AB12" i="29"/>
  <c r="AC12" i="29"/>
  <c r="AC75" i="29"/>
  <c r="AC59" i="29" s="1"/>
  <c r="AB75" i="29"/>
  <c r="AB59" i="29" s="1"/>
  <c r="AA75" i="29"/>
  <c r="Z75" i="29"/>
  <c r="Z59" i="29" s="1"/>
  <c r="Z70" i="29" s="1"/>
  <c r="Y75" i="29"/>
  <c r="Y59" i="29" s="1"/>
  <c r="X75" i="29"/>
  <c r="X59" i="29" s="1"/>
  <c r="W75" i="29"/>
  <c r="V75" i="29"/>
  <c r="V59" i="29" s="1"/>
  <c r="V70" i="29" s="1"/>
  <c r="U75" i="29"/>
  <c r="U59" i="29" s="1"/>
  <c r="T75" i="29"/>
  <c r="T59" i="29" s="1"/>
  <c r="S75" i="29"/>
  <c r="R75" i="29"/>
  <c r="R59" i="29" s="1"/>
  <c r="R70" i="29" s="1"/>
  <c r="Q75" i="29"/>
  <c r="Q59" i="29" s="1"/>
  <c r="P75" i="29"/>
  <c r="P59" i="29" s="1"/>
  <c r="O75" i="29"/>
  <c r="N75" i="29"/>
  <c r="N59" i="29" s="1"/>
  <c r="N70" i="29" s="1"/>
  <c r="M75" i="29"/>
  <c r="M59" i="29" s="1"/>
  <c r="L75" i="29"/>
  <c r="L59" i="29" s="1"/>
  <c r="K75" i="29"/>
  <c r="J75" i="29"/>
  <c r="J59" i="29" s="1"/>
  <c r="J70" i="29" s="1"/>
  <c r="I75" i="29"/>
  <c r="I59" i="29" s="1"/>
  <c r="H75" i="29"/>
  <c r="H59" i="29" s="1"/>
  <c r="G75" i="29"/>
  <c r="F75" i="29"/>
  <c r="F59" i="29" s="1"/>
  <c r="F11" i="29"/>
  <c r="G11" i="29"/>
  <c r="H11" i="29"/>
  <c r="I11" i="29"/>
  <c r="J11" i="29"/>
  <c r="K11" i="29"/>
  <c r="L11" i="29"/>
  <c r="M11" i="29"/>
  <c r="N11" i="29"/>
  <c r="O11" i="29"/>
  <c r="P11" i="29"/>
  <c r="Q11" i="29"/>
  <c r="R11" i="29"/>
  <c r="S11" i="29"/>
  <c r="T11" i="29"/>
  <c r="U11" i="29"/>
  <c r="V11" i="29"/>
  <c r="W11" i="29"/>
  <c r="X11" i="29"/>
  <c r="Y11" i="29"/>
  <c r="Z11" i="29"/>
  <c r="AA11" i="29"/>
  <c r="AB11" i="29"/>
  <c r="AC11" i="29"/>
  <c r="AC74" i="29"/>
  <c r="AC58" i="29" s="1"/>
  <c r="AB74" i="29"/>
  <c r="AB58" i="29" s="1"/>
  <c r="AA74" i="29"/>
  <c r="AA58" i="29" s="1"/>
  <c r="Z74" i="29"/>
  <c r="Z58" i="29" s="1"/>
  <c r="Y74" i="29"/>
  <c r="Y58" i="29" s="1"/>
  <c r="X74" i="29"/>
  <c r="X58" i="29" s="1"/>
  <c r="W74" i="29"/>
  <c r="W58" i="29" s="1"/>
  <c r="V74" i="29"/>
  <c r="V58" i="29" s="1"/>
  <c r="U74" i="29"/>
  <c r="U58" i="29" s="1"/>
  <c r="T74" i="29"/>
  <c r="T58" i="29" s="1"/>
  <c r="S74" i="29"/>
  <c r="S58" i="29" s="1"/>
  <c r="R74" i="29"/>
  <c r="R58" i="29" s="1"/>
  <c r="Q74" i="29"/>
  <c r="Q58" i="29" s="1"/>
  <c r="P74" i="29"/>
  <c r="P58" i="29" s="1"/>
  <c r="O74" i="29"/>
  <c r="O58" i="29" s="1"/>
  <c r="N74" i="29"/>
  <c r="N58" i="29" s="1"/>
  <c r="M74" i="29"/>
  <c r="M58" i="29" s="1"/>
  <c r="L74" i="29"/>
  <c r="L58" i="29" s="1"/>
  <c r="K74" i="29"/>
  <c r="K58" i="29" s="1"/>
  <c r="J74" i="29"/>
  <c r="J58" i="29" s="1"/>
  <c r="I74" i="29"/>
  <c r="I58" i="29" s="1"/>
  <c r="H74" i="29"/>
  <c r="H58" i="29" s="1"/>
  <c r="G74" i="29"/>
  <c r="G58" i="29" s="1"/>
  <c r="F74" i="29"/>
  <c r="F58" i="29" s="1"/>
  <c r="E85" i="29"/>
  <c r="E69" i="29" s="1"/>
  <c r="E84" i="29"/>
  <c r="E68" i="29" s="1"/>
  <c r="E83" i="29"/>
  <c r="E67" i="29" s="1"/>
  <c r="E82" i="29"/>
  <c r="E66" i="29" s="1"/>
  <c r="E81" i="29"/>
  <c r="E65" i="29" s="1"/>
  <c r="E80" i="29"/>
  <c r="E64" i="29" s="1"/>
  <c r="E79" i="29"/>
  <c r="E63" i="29" s="1"/>
  <c r="E78" i="29"/>
  <c r="E62" i="29" s="1"/>
  <c r="E77" i="29"/>
  <c r="E61" i="29" s="1"/>
  <c r="E76" i="29"/>
  <c r="E60" i="29" s="1"/>
  <c r="E75" i="29"/>
  <c r="E59" i="29" s="1"/>
  <c r="E74" i="29"/>
  <c r="E58" i="29" s="1"/>
  <c r="E70" i="29" s="1"/>
  <c r="F161" i="4" s="1"/>
  <c r="D101" i="29"/>
  <c r="D100" i="29"/>
  <c r="D99" i="29"/>
  <c r="D98" i="29"/>
  <c r="D97" i="29"/>
  <c r="D96" i="29"/>
  <c r="D95" i="29"/>
  <c r="D94" i="29"/>
  <c r="D93" i="29"/>
  <c r="D92" i="29"/>
  <c r="D91" i="29"/>
  <c r="D90" i="29"/>
  <c r="D102" i="29" s="1"/>
  <c r="D85" i="29"/>
  <c r="D84" i="29"/>
  <c r="D83" i="29"/>
  <c r="D82" i="29"/>
  <c r="D81" i="29"/>
  <c r="D80" i="29"/>
  <c r="D79" i="29"/>
  <c r="D78" i="29"/>
  <c r="D86" i="29" s="1"/>
  <c r="D77" i="29"/>
  <c r="D76" i="29"/>
  <c r="D75" i="29"/>
  <c r="D74"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G160" i="4"/>
  <c r="F70" i="29"/>
  <c r="G161" i="4" s="1"/>
  <c r="E151" i="4"/>
  <c r="E152" i="4" s="1"/>
  <c r="E155" i="4"/>
  <c r="E157" i="4" s="1"/>
  <c r="F151" i="4"/>
  <c r="F152" i="4" s="1"/>
  <c r="F155" i="4"/>
  <c r="F156" i="4"/>
  <c r="F160" i="4"/>
  <c r="G151" i="4"/>
  <c r="G152" i="4" s="1"/>
  <c r="G155" i="4"/>
  <c r="G156" i="4"/>
  <c r="H151" i="4"/>
  <c r="H152" i="4" s="1"/>
  <c r="H155" i="4"/>
  <c r="H156" i="4"/>
  <c r="H160" i="4"/>
  <c r="I151" i="4"/>
  <c r="I152" i="4" s="1"/>
  <c r="I155" i="4"/>
  <c r="I156" i="4"/>
  <c r="I160" i="4"/>
  <c r="H70" i="29"/>
  <c r="I161" i="4" s="1"/>
  <c r="I162" i="4" s="1"/>
  <c r="J151" i="4"/>
  <c r="J152" i="4" s="1"/>
  <c r="J155" i="4"/>
  <c r="J156" i="4"/>
  <c r="J160" i="4"/>
  <c r="I70" i="29"/>
  <c r="J161" i="4" s="1"/>
  <c r="K151" i="4"/>
  <c r="K152" i="4" s="1"/>
  <c r="K155" i="4"/>
  <c r="K156" i="4"/>
  <c r="K160" i="4"/>
  <c r="L151" i="4"/>
  <c r="L152" i="4" s="1"/>
  <c r="L155" i="4"/>
  <c r="L156" i="4"/>
  <c r="L160" i="4"/>
  <c r="M151" i="4"/>
  <c r="M152" i="4" s="1"/>
  <c r="M155" i="4"/>
  <c r="M156" i="4"/>
  <c r="M160" i="4"/>
  <c r="L70" i="29"/>
  <c r="M161" i="4" s="1"/>
  <c r="N151" i="4"/>
  <c r="N152" i="4" s="1"/>
  <c r="N155" i="4"/>
  <c r="N156" i="4"/>
  <c r="N160" i="4"/>
  <c r="M70" i="29"/>
  <c r="N161" i="4" s="1"/>
  <c r="O151" i="4"/>
  <c r="O152" i="4" s="1"/>
  <c r="O155" i="4"/>
  <c r="O156" i="4"/>
  <c r="O160" i="4"/>
  <c r="P151" i="4"/>
  <c r="P152" i="4" s="1"/>
  <c r="P155" i="4"/>
  <c r="P156" i="4"/>
  <c r="P160" i="4"/>
  <c r="Q151" i="4"/>
  <c r="Q152" i="4" s="1"/>
  <c r="Q155" i="4"/>
  <c r="Q156" i="4"/>
  <c r="Q160" i="4"/>
  <c r="P70" i="29"/>
  <c r="Q161" i="4" s="1"/>
  <c r="Q162" i="4" s="1"/>
  <c r="R151" i="4"/>
  <c r="R152" i="4" s="1"/>
  <c r="R155" i="4"/>
  <c r="R156" i="4"/>
  <c r="R160" i="4"/>
  <c r="Q70" i="29"/>
  <c r="R161" i="4" s="1"/>
  <c r="S151" i="4"/>
  <c r="S152" i="4" s="1"/>
  <c r="S155" i="4"/>
  <c r="S156" i="4"/>
  <c r="S160" i="4"/>
  <c r="T151" i="4"/>
  <c r="T152" i="4" s="1"/>
  <c r="T155" i="4"/>
  <c r="T156" i="4"/>
  <c r="T160" i="4"/>
  <c r="U151" i="4"/>
  <c r="U152" i="4" s="1"/>
  <c r="U155" i="4"/>
  <c r="U156" i="4"/>
  <c r="U160" i="4"/>
  <c r="T70" i="29"/>
  <c r="U161" i="4" s="1"/>
  <c r="V151" i="4"/>
  <c r="V152" i="4" s="1"/>
  <c r="V155" i="4"/>
  <c r="V156" i="4"/>
  <c r="V160" i="4"/>
  <c r="U70" i="29"/>
  <c r="V161" i="4" s="1"/>
  <c r="W151" i="4"/>
  <c r="W152" i="4" s="1"/>
  <c r="W155" i="4"/>
  <c r="W156" i="4"/>
  <c r="W160" i="4"/>
  <c r="X151" i="4"/>
  <c r="X152" i="4" s="1"/>
  <c r="X155" i="4"/>
  <c r="X156" i="4"/>
  <c r="X160" i="4"/>
  <c r="Y151" i="4"/>
  <c r="Y152" i="4" s="1"/>
  <c r="Y155" i="4"/>
  <c r="Y156" i="4"/>
  <c r="Y157" i="4" s="1"/>
  <c r="Y160" i="4"/>
  <c r="X70" i="29"/>
  <c r="Y161" i="4" s="1"/>
  <c r="Z151" i="4"/>
  <c r="Z152" i="4" s="1"/>
  <c r="Z155" i="4"/>
  <c r="Z156" i="4"/>
  <c r="Z160" i="4"/>
  <c r="Y70" i="29"/>
  <c r="Z161" i="4" s="1"/>
  <c r="AA151" i="4"/>
  <c r="AA152" i="4" s="1"/>
  <c r="AA155" i="4"/>
  <c r="AA156" i="4"/>
  <c r="AA160" i="4"/>
  <c r="AB151" i="4"/>
  <c r="AB152" i="4" s="1"/>
  <c r="AB155" i="4"/>
  <c r="AB156" i="4"/>
  <c r="AB160" i="4"/>
  <c r="AC151" i="4"/>
  <c r="AC152" i="4" s="1"/>
  <c r="AC155" i="4"/>
  <c r="AC156" i="4"/>
  <c r="AC160" i="4"/>
  <c r="AB70" i="29"/>
  <c r="AC161" i="4" s="1"/>
  <c r="AD151" i="4"/>
  <c r="AD152" i="4" s="1"/>
  <c r="AD155" i="4"/>
  <c r="AD157" i="4" s="1"/>
  <c r="AD156" i="4"/>
  <c r="AD160" i="4"/>
  <c r="AC70" i="29"/>
  <c r="AD161" i="4" s="1"/>
  <c r="Q39" i="33"/>
  <c r="P39" i="33"/>
  <c r="O39" i="33"/>
  <c r="N39" i="33"/>
  <c r="E50" i="33"/>
  <c r="AG113" i="50"/>
  <c r="AI113" i="50"/>
  <c r="AJ113" i="50"/>
  <c r="AC111" i="50"/>
  <c r="AN113" i="50"/>
  <c r="AO113" i="50"/>
  <c r="G110" i="50"/>
  <c r="H110" i="50"/>
  <c r="I110" i="50"/>
  <c r="J110" i="50"/>
  <c r="K110" i="50"/>
  <c r="L110" i="50"/>
  <c r="M110" i="50"/>
  <c r="N110" i="50"/>
  <c r="O110" i="50"/>
  <c r="P110" i="50"/>
  <c r="Q110" i="50"/>
  <c r="R110" i="50"/>
  <c r="S110" i="50"/>
  <c r="T110" i="50"/>
  <c r="U110" i="50"/>
  <c r="V110" i="50"/>
  <c r="W110" i="50"/>
  <c r="X110" i="50"/>
  <c r="Y110" i="50"/>
  <c r="Z110" i="50"/>
  <c r="AA110" i="50"/>
  <c r="AB110" i="50"/>
  <c r="AC110" i="50"/>
  <c r="AB111" i="50"/>
  <c r="AA111" i="50"/>
  <c r="Z111" i="50"/>
  <c r="Y111" i="50"/>
  <c r="X111" i="50"/>
  <c r="W111" i="50"/>
  <c r="V111" i="50"/>
  <c r="U111" i="50"/>
  <c r="T111" i="50"/>
  <c r="S111" i="50"/>
  <c r="R111" i="50"/>
  <c r="Q111" i="50"/>
  <c r="P111" i="50"/>
  <c r="O111" i="50"/>
  <c r="N111" i="50"/>
  <c r="M111" i="50"/>
  <c r="L111" i="50"/>
  <c r="K111" i="50"/>
  <c r="J111" i="50"/>
  <c r="I111" i="50"/>
  <c r="H111" i="50"/>
  <c r="G111" i="50"/>
  <c r="AH113" i="50"/>
  <c r="F111" i="50"/>
  <c r="F110" i="50"/>
  <c r="AF113" i="50"/>
  <c r="E111" i="50"/>
  <c r="E110" i="50"/>
  <c r="D10" i="50"/>
  <c r="D12" i="50"/>
  <c r="D13" i="50"/>
  <c r="F63" i="50"/>
  <c r="G63" i="50"/>
  <c r="I63" i="50"/>
  <c r="F64" i="50"/>
  <c r="G64" i="50"/>
  <c r="I64" i="50"/>
  <c r="I65" i="50"/>
  <c r="D22" i="50"/>
  <c r="D8" i="50"/>
  <c r="E22" i="50"/>
  <c r="X85" i="50"/>
  <c r="AB85" i="50"/>
  <c r="AC85" i="50"/>
  <c r="AA85" i="50"/>
  <c r="Z85" i="50"/>
  <c r="Y85" i="50"/>
  <c r="W85" i="50"/>
  <c r="V85" i="50"/>
  <c r="U85" i="50"/>
  <c r="T85" i="50"/>
  <c r="S85" i="50"/>
  <c r="R85" i="50"/>
  <c r="Q85" i="50"/>
  <c r="P85" i="50"/>
  <c r="O85" i="50"/>
  <c r="N85" i="50"/>
  <c r="M85" i="50"/>
  <c r="L85" i="50"/>
  <c r="K85" i="50"/>
  <c r="J85" i="50"/>
  <c r="I85" i="50"/>
  <c r="H85" i="50"/>
  <c r="G85" i="50"/>
  <c r="F85" i="50"/>
  <c r="E85" i="50"/>
  <c r="AN112" i="50"/>
  <c r="AO112" i="50"/>
  <c r="AG120" i="50"/>
  <c r="AI120" i="50"/>
  <c r="AJ120" i="50"/>
  <c r="AG119" i="50"/>
  <c r="AI119" i="50"/>
  <c r="AJ119" i="50"/>
  <c r="AO120" i="50"/>
  <c r="AQ120" i="50"/>
  <c r="AR120" i="50"/>
  <c r="AO119" i="50"/>
  <c r="AH119" i="50"/>
  <c r="AP120" i="50"/>
  <c r="AF120" i="50"/>
  <c r="AF119" i="50"/>
  <c r="AN120" i="50"/>
  <c r="AN119" i="50"/>
  <c r="AE156" i="4"/>
  <c r="E162" i="4"/>
  <c r="I62" i="33"/>
  <c r="D50" i="33"/>
  <c r="E92" i="50"/>
  <c r="D64" i="50"/>
  <c r="AF100" i="50"/>
  <c r="E98" i="50"/>
  <c r="AF106" i="50"/>
  <c r="E104" i="50"/>
  <c r="D14" i="50"/>
  <c r="AG100" i="50"/>
  <c r="AH100" i="50"/>
  <c r="F98" i="50"/>
  <c r="AG106" i="50"/>
  <c r="AI106" i="50"/>
  <c r="AJ106" i="50"/>
  <c r="AI100" i="50"/>
  <c r="AJ100" i="50"/>
  <c r="M98" i="50"/>
  <c r="N104" i="50"/>
  <c r="O98" i="50"/>
  <c r="P104" i="50"/>
  <c r="Q98" i="50"/>
  <c r="R104" i="50"/>
  <c r="S98" i="50"/>
  <c r="T104" i="50"/>
  <c r="U98" i="50"/>
  <c r="V104" i="50"/>
  <c r="W98" i="50"/>
  <c r="X104" i="50"/>
  <c r="Y98" i="50"/>
  <c r="Z104" i="50"/>
  <c r="AA98" i="50"/>
  <c r="AB98" i="50"/>
  <c r="AB104" i="50"/>
  <c r="AC98" i="50"/>
  <c r="AC104" i="50"/>
  <c r="E39" i="50"/>
  <c r="F39" i="50"/>
  <c r="E40" i="50"/>
  <c r="F38" i="50"/>
  <c r="G38" i="50"/>
  <c r="E41" i="50"/>
  <c r="F41" i="50"/>
  <c r="F45" i="50"/>
  <c r="G45" i="50"/>
  <c r="I45" i="50"/>
  <c r="F47" i="50"/>
  <c r="G47" i="50"/>
  <c r="I47" i="50"/>
  <c r="D47" i="50"/>
  <c r="F49" i="50"/>
  <c r="G49" i="50"/>
  <c r="I49" i="50"/>
  <c r="D49" i="50"/>
  <c r="F50" i="50"/>
  <c r="G50" i="50"/>
  <c r="I50" i="50"/>
  <c r="D50" i="50"/>
  <c r="F57" i="50"/>
  <c r="G57" i="50"/>
  <c r="I57" i="50"/>
  <c r="Z117" i="4"/>
  <c r="Z118" i="4" s="1"/>
  <c r="AA117" i="4"/>
  <c r="AA118" i="4" s="1"/>
  <c r="AB117" i="4"/>
  <c r="AB118" i="4" s="1"/>
  <c r="AC117" i="4"/>
  <c r="AC118" i="4" s="1"/>
  <c r="AD117" i="4"/>
  <c r="AD118" i="4" s="1"/>
  <c r="Z121" i="4"/>
  <c r="Z122" i="4"/>
  <c r="AA121" i="4"/>
  <c r="AA122" i="4"/>
  <c r="AB121" i="4"/>
  <c r="AB122" i="4"/>
  <c r="AC121" i="4"/>
  <c r="AC122" i="4"/>
  <c r="AD121" i="4"/>
  <c r="AD122" i="4"/>
  <c r="E33" i="33"/>
  <c r="K76" i="33"/>
  <c r="L76" i="33"/>
  <c r="L75" i="33"/>
  <c r="K75" i="33"/>
  <c r="B7" i="4"/>
  <c r="AN114" i="50"/>
  <c r="AO114" i="50"/>
  <c r="AO121" i="50"/>
  <c r="AQ121" i="50"/>
  <c r="AR121" i="50"/>
  <c r="AN121" i="50"/>
  <c r="AG121" i="50"/>
  <c r="AH121" i="50"/>
  <c r="AF121" i="50"/>
  <c r="AG114" i="50"/>
  <c r="AI114" i="50"/>
  <c r="AJ114" i="50"/>
  <c r="AG112" i="50"/>
  <c r="AI112" i="50"/>
  <c r="AJ112" i="50"/>
  <c r="AG107" i="50"/>
  <c r="AI107" i="50"/>
  <c r="AG105" i="50"/>
  <c r="AI105" i="50"/>
  <c r="AJ105" i="50"/>
  <c r="AG101" i="50"/>
  <c r="AI101" i="50"/>
  <c r="AG99" i="50"/>
  <c r="AI99" i="50"/>
  <c r="AJ99" i="50"/>
  <c r="AF94" i="50"/>
  <c r="AG94" i="50"/>
  <c r="AF93" i="50"/>
  <c r="F92" i="50"/>
  <c r="AF92" i="50"/>
  <c r="AG92" i="50"/>
  <c r="E91" i="50"/>
  <c r="F91" i="50"/>
  <c r="G91" i="50"/>
  <c r="H91" i="50"/>
  <c r="I91" i="50"/>
  <c r="J91" i="50"/>
  <c r="K91" i="50"/>
  <c r="L91" i="50"/>
  <c r="M91" i="50"/>
  <c r="N91" i="50"/>
  <c r="O91" i="50"/>
  <c r="P91" i="50"/>
  <c r="Q91" i="50"/>
  <c r="R91" i="50"/>
  <c r="S91" i="50"/>
  <c r="T91" i="50"/>
  <c r="U91" i="50"/>
  <c r="V91" i="50"/>
  <c r="W91" i="50"/>
  <c r="X91" i="50"/>
  <c r="Y91" i="50"/>
  <c r="Z91" i="50"/>
  <c r="AA91" i="50"/>
  <c r="AB91" i="50"/>
  <c r="AC91" i="50"/>
  <c r="AF114" i="50"/>
  <c r="AF112" i="50"/>
  <c r="AF107" i="50"/>
  <c r="AF105" i="50"/>
  <c r="AF99" i="50"/>
  <c r="AF101" i="50"/>
  <c r="AH101" i="50"/>
  <c r="AI121" i="50"/>
  <c r="AJ121" i="50"/>
  <c r="AP121" i="50"/>
  <c r="AH112" i="50"/>
  <c r="AJ107" i="50"/>
  <c r="AJ101" i="50"/>
  <c r="AH99" i="50"/>
  <c r="AH114" i="50"/>
  <c r="AH107" i="50"/>
  <c r="E127" i="4"/>
  <c r="H60" i="50"/>
  <c r="H65" i="50"/>
  <c r="H54" i="50"/>
  <c r="C6" i="4"/>
  <c r="K60" i="33"/>
  <c r="L60" i="33" s="1"/>
  <c r="K48" i="33"/>
  <c r="L48" i="33" s="1"/>
  <c r="K45" i="33"/>
  <c r="L45" i="33"/>
  <c r="K42" i="33"/>
  <c r="L42" i="33"/>
  <c r="K61" i="33"/>
  <c r="L61" i="33"/>
  <c r="K43" i="33"/>
  <c r="L43" i="33" s="1"/>
  <c r="K31" i="33"/>
  <c r="L31" i="33"/>
  <c r="K33" i="33"/>
  <c r="L33" i="33"/>
  <c r="K34" i="33"/>
  <c r="L34" i="33"/>
  <c r="K35" i="33"/>
  <c r="L35" i="33"/>
  <c r="K36" i="33"/>
  <c r="L36" i="33"/>
  <c r="K37" i="33"/>
  <c r="L37" i="33"/>
  <c r="K38" i="33"/>
  <c r="L38" i="33"/>
  <c r="L30" i="33"/>
  <c r="K30" i="33"/>
  <c r="F109" i="50"/>
  <c r="G109" i="50"/>
  <c r="H109" i="50"/>
  <c r="I109" i="50"/>
  <c r="J109" i="50"/>
  <c r="K109" i="50"/>
  <c r="L109" i="50"/>
  <c r="M109" i="50"/>
  <c r="N109" i="50"/>
  <c r="O109" i="50"/>
  <c r="P109" i="50"/>
  <c r="Q109" i="50"/>
  <c r="R109" i="50"/>
  <c r="S109" i="50"/>
  <c r="T109" i="50"/>
  <c r="U109" i="50"/>
  <c r="V109" i="50"/>
  <c r="W109" i="50"/>
  <c r="X109" i="50"/>
  <c r="Y109" i="50"/>
  <c r="Z109" i="50"/>
  <c r="AA109" i="50"/>
  <c r="AB109" i="50"/>
  <c r="AC109" i="50"/>
  <c r="F103" i="50"/>
  <c r="G103" i="50"/>
  <c r="H103" i="50"/>
  <c r="I103" i="50"/>
  <c r="J103" i="50"/>
  <c r="K103" i="50"/>
  <c r="L103" i="50"/>
  <c r="M103" i="50"/>
  <c r="N103" i="50"/>
  <c r="O103" i="50"/>
  <c r="P103" i="50"/>
  <c r="Q103" i="50"/>
  <c r="R103" i="50"/>
  <c r="S103" i="50"/>
  <c r="T103" i="50"/>
  <c r="U103" i="50"/>
  <c r="V103" i="50"/>
  <c r="W103" i="50"/>
  <c r="X103" i="50"/>
  <c r="Y103" i="50"/>
  <c r="Z103" i="50"/>
  <c r="AA103" i="50"/>
  <c r="AB103" i="50"/>
  <c r="AC103" i="50"/>
  <c r="F97" i="50"/>
  <c r="G97" i="50"/>
  <c r="H97" i="50"/>
  <c r="I97" i="50"/>
  <c r="J97" i="50"/>
  <c r="K97" i="50"/>
  <c r="L97" i="50"/>
  <c r="M97" i="50"/>
  <c r="N97" i="50"/>
  <c r="O97" i="50"/>
  <c r="P97" i="50"/>
  <c r="Q97" i="50"/>
  <c r="R97" i="50"/>
  <c r="S97" i="50"/>
  <c r="T97" i="50"/>
  <c r="U97" i="50"/>
  <c r="V97" i="50"/>
  <c r="W97" i="50"/>
  <c r="X97" i="50"/>
  <c r="Y97" i="50"/>
  <c r="Z97" i="50"/>
  <c r="AA97" i="50"/>
  <c r="AB97" i="50"/>
  <c r="AC97" i="50"/>
  <c r="F89" i="50"/>
  <c r="G89" i="50"/>
  <c r="H89" i="50"/>
  <c r="I89" i="50"/>
  <c r="J89" i="50"/>
  <c r="K89" i="50"/>
  <c r="L89" i="50"/>
  <c r="M89" i="50"/>
  <c r="N89" i="50"/>
  <c r="O89" i="50"/>
  <c r="P89" i="50"/>
  <c r="Q89" i="50"/>
  <c r="R89" i="50"/>
  <c r="S89" i="50"/>
  <c r="T89" i="50"/>
  <c r="U89" i="50"/>
  <c r="V89" i="50"/>
  <c r="W89" i="50"/>
  <c r="X89" i="50"/>
  <c r="Y89" i="50"/>
  <c r="Z89" i="50"/>
  <c r="AA89" i="50"/>
  <c r="AB89" i="50"/>
  <c r="AC89" i="50"/>
  <c r="AE34" i="4"/>
  <c r="AE35" i="4"/>
  <c r="D15" i="50"/>
  <c r="F82" i="50"/>
  <c r="G82" i="50"/>
  <c r="H82" i="50"/>
  <c r="I82" i="50"/>
  <c r="J82" i="50"/>
  <c r="K82" i="50"/>
  <c r="L82" i="50"/>
  <c r="M82" i="50"/>
  <c r="N82" i="50"/>
  <c r="O82" i="50"/>
  <c r="P82" i="50"/>
  <c r="Q82" i="50"/>
  <c r="R82" i="50"/>
  <c r="S82" i="50"/>
  <c r="T82" i="50"/>
  <c r="U82" i="50"/>
  <c r="V82" i="50"/>
  <c r="W82" i="50"/>
  <c r="X82" i="50"/>
  <c r="Y82" i="50"/>
  <c r="Z82" i="50"/>
  <c r="AA82" i="50"/>
  <c r="AB82" i="50"/>
  <c r="AC82" i="50"/>
  <c r="F73" i="50"/>
  <c r="G73" i="50"/>
  <c r="H73" i="50"/>
  <c r="I73" i="50"/>
  <c r="J73" i="50"/>
  <c r="K73" i="50"/>
  <c r="L73" i="50"/>
  <c r="M73" i="50"/>
  <c r="N73" i="50"/>
  <c r="O73" i="50"/>
  <c r="P73" i="50"/>
  <c r="Q73" i="50"/>
  <c r="R73" i="50"/>
  <c r="S73" i="50"/>
  <c r="T73" i="50"/>
  <c r="U73" i="50"/>
  <c r="V73" i="50"/>
  <c r="W73" i="50"/>
  <c r="X73" i="50"/>
  <c r="Y73" i="50"/>
  <c r="Z73" i="50"/>
  <c r="AA73" i="50"/>
  <c r="AB73" i="50"/>
  <c r="AC73" i="50"/>
  <c r="D45" i="50"/>
  <c r="K66" i="33"/>
  <c r="L66" i="33" s="1"/>
  <c r="K32" i="33"/>
  <c r="L32" i="33"/>
  <c r="AE41" i="4"/>
  <c r="K44" i="33"/>
  <c r="L44" i="33" s="1"/>
  <c r="L39" i="33"/>
  <c r="K39" i="33"/>
  <c r="AE22" i="4"/>
  <c r="C11" i="44"/>
  <c r="H12" i="33" s="1"/>
  <c r="C7" i="4"/>
  <c r="AE117" i="4"/>
  <c r="AE47" i="4"/>
  <c r="G39" i="50"/>
  <c r="G41" i="50"/>
  <c r="I41" i="50"/>
  <c r="D41" i="50"/>
  <c r="I38" i="50"/>
  <c r="D38" i="50"/>
  <c r="F58" i="50"/>
  <c r="G58" i="50"/>
  <c r="I58" i="50"/>
  <c r="D58" i="50"/>
  <c r="F52" i="50"/>
  <c r="G52" i="50"/>
  <c r="I52" i="50"/>
  <c r="D52" i="50"/>
  <c r="F46" i="50"/>
  <c r="G46" i="50"/>
  <c r="I46" i="50"/>
  <c r="D46" i="50"/>
  <c r="F40" i="50"/>
  <c r="G40" i="50"/>
  <c r="F59" i="50"/>
  <c r="G59" i="50"/>
  <c r="I59" i="50"/>
  <c r="I60" i="50"/>
  <c r="D21" i="50"/>
  <c r="E21" i="50"/>
  <c r="G60" i="50"/>
  <c r="D57" i="50"/>
  <c r="D59" i="50"/>
  <c r="F53" i="50"/>
  <c r="G53" i="50"/>
  <c r="I53" i="50"/>
  <c r="D53" i="50"/>
  <c r="F51" i="50"/>
  <c r="G51" i="50"/>
  <c r="I51" i="50"/>
  <c r="D51" i="50"/>
  <c r="F48" i="50"/>
  <c r="G48" i="50"/>
  <c r="I48" i="50"/>
  <c r="D48" i="50"/>
  <c r="D54" i="29"/>
  <c r="AH105" i="50"/>
  <c r="AG93" i="50"/>
  <c r="H98" i="50"/>
  <c r="L98" i="50"/>
  <c r="J98" i="50"/>
  <c r="N98" i="50"/>
  <c r="I104" i="50"/>
  <c r="M104" i="50"/>
  <c r="H104" i="50"/>
  <c r="G104" i="50"/>
  <c r="E105" i="50"/>
  <c r="F105" i="50"/>
  <c r="G105" i="50"/>
  <c r="G106" i="50"/>
  <c r="K104" i="50"/>
  <c r="Y104" i="50"/>
  <c r="X98" i="50"/>
  <c r="U104" i="50"/>
  <c r="T98" i="50"/>
  <c r="Q104" i="50"/>
  <c r="P98" i="50"/>
  <c r="L104" i="50"/>
  <c r="I98" i="50"/>
  <c r="E93" i="50"/>
  <c r="H105" i="50"/>
  <c r="I105" i="50"/>
  <c r="J105" i="50"/>
  <c r="K105" i="50"/>
  <c r="L105" i="50"/>
  <c r="M105" i="50"/>
  <c r="N105" i="50"/>
  <c r="E114" i="50"/>
  <c r="F114" i="50"/>
  <c r="G114" i="50"/>
  <c r="H114" i="50"/>
  <c r="I114" i="50"/>
  <c r="J114" i="50"/>
  <c r="K114" i="50"/>
  <c r="L114" i="50"/>
  <c r="M114" i="50"/>
  <c r="N114" i="50"/>
  <c r="O114" i="50"/>
  <c r="P114" i="50"/>
  <c r="Q114" i="50"/>
  <c r="R114" i="50"/>
  <c r="S114" i="50"/>
  <c r="T114" i="50"/>
  <c r="U114" i="50"/>
  <c r="V114" i="50"/>
  <c r="W114" i="50"/>
  <c r="X114" i="50"/>
  <c r="Y114" i="50"/>
  <c r="Z114" i="50"/>
  <c r="AA114" i="50"/>
  <c r="AB114" i="50"/>
  <c r="AC114" i="50"/>
  <c r="E99" i="50"/>
  <c r="E120" i="50"/>
  <c r="F120" i="50"/>
  <c r="G120" i="50"/>
  <c r="H120" i="50"/>
  <c r="I120" i="50"/>
  <c r="J120" i="50"/>
  <c r="K120" i="50"/>
  <c r="L120" i="50"/>
  <c r="M120" i="50"/>
  <c r="N120" i="50"/>
  <c r="O120" i="50"/>
  <c r="P120" i="50"/>
  <c r="Q120" i="50"/>
  <c r="R120" i="50"/>
  <c r="S120" i="50"/>
  <c r="T120" i="50"/>
  <c r="U120" i="50"/>
  <c r="V120" i="50"/>
  <c r="W120" i="50"/>
  <c r="X120" i="50"/>
  <c r="Y120" i="50"/>
  <c r="Z120" i="50"/>
  <c r="AA120" i="50"/>
  <c r="AB120" i="50"/>
  <c r="AC120" i="50"/>
  <c r="AA104" i="50"/>
  <c r="Z98" i="50"/>
  <c r="W104" i="50"/>
  <c r="V98" i="50"/>
  <c r="S104" i="50"/>
  <c r="R98" i="50"/>
  <c r="O104" i="50"/>
  <c r="K98" i="50"/>
  <c r="J104" i="50"/>
  <c r="J106" i="50"/>
  <c r="G98" i="50"/>
  <c r="E106" i="50"/>
  <c r="AH106" i="50"/>
  <c r="F104" i="50"/>
  <c r="F106" i="50"/>
  <c r="AQ119" i="50"/>
  <c r="AR119" i="50"/>
  <c r="AP119" i="50"/>
  <c r="AH120" i="50"/>
  <c r="G42" i="50"/>
  <c r="H106" i="50"/>
  <c r="I54" i="50"/>
  <c r="D20" i="50"/>
  <c r="G65" i="50"/>
  <c r="M106" i="50"/>
  <c r="G54" i="50"/>
  <c r="G92" i="50"/>
  <c r="K92" i="50"/>
  <c r="J92" i="50"/>
  <c r="I92" i="50"/>
  <c r="M92" i="50"/>
  <c r="Q92" i="50"/>
  <c r="U92" i="50"/>
  <c r="Y92" i="50"/>
  <c r="AC92" i="50"/>
  <c r="O92" i="50"/>
  <c r="S92" i="50"/>
  <c r="W92" i="50"/>
  <c r="AA92" i="50"/>
  <c r="H92" i="50"/>
  <c r="R92" i="50"/>
  <c r="V92" i="50"/>
  <c r="Z92" i="50"/>
  <c r="L92" i="50"/>
  <c r="P92" i="50"/>
  <c r="X92" i="50"/>
  <c r="N92" i="50"/>
  <c r="T92" i="50"/>
  <c r="AB92" i="50"/>
  <c r="O105" i="50"/>
  <c r="P105" i="50"/>
  <c r="N106" i="50"/>
  <c r="L106" i="50"/>
  <c r="K106" i="50"/>
  <c r="I106" i="50"/>
  <c r="E94" i="50"/>
  <c r="F93" i="50"/>
  <c r="F99" i="50"/>
  <c r="E100" i="50"/>
  <c r="E20" i="50"/>
  <c r="K59" i="33"/>
  <c r="L59" i="33" s="1"/>
  <c r="G68" i="50"/>
  <c r="D63" i="50"/>
  <c r="O106" i="50"/>
  <c r="G99" i="50"/>
  <c r="F100" i="50"/>
  <c r="Q105" i="50"/>
  <c r="P106" i="50"/>
  <c r="G93" i="50"/>
  <c r="H93" i="50"/>
  <c r="I93" i="50"/>
  <c r="J93" i="50"/>
  <c r="K93" i="50"/>
  <c r="F94" i="50"/>
  <c r="G94" i="50"/>
  <c r="G126" i="4"/>
  <c r="G127" i="4" s="1"/>
  <c r="L93" i="50"/>
  <c r="M93" i="50"/>
  <c r="N93" i="50"/>
  <c r="O93" i="50"/>
  <c r="P93" i="50"/>
  <c r="Q93" i="50"/>
  <c r="R93" i="50"/>
  <c r="S93" i="50"/>
  <c r="T93" i="50"/>
  <c r="U93" i="50"/>
  <c r="V93" i="50"/>
  <c r="W93" i="50"/>
  <c r="X93" i="50"/>
  <c r="Y93" i="50"/>
  <c r="Z93" i="50"/>
  <c r="AA93" i="50"/>
  <c r="AB93" i="50"/>
  <c r="AC93" i="50"/>
  <c r="AC94" i="50"/>
  <c r="H94" i="50"/>
  <c r="J94" i="50"/>
  <c r="I94" i="50"/>
  <c r="V94" i="50"/>
  <c r="AA94" i="50"/>
  <c r="X94" i="50"/>
  <c r="P94" i="50"/>
  <c r="W94" i="50"/>
  <c r="K94" i="50"/>
  <c r="L94" i="50"/>
  <c r="H99" i="50"/>
  <c r="G100" i="50"/>
  <c r="U94" i="50"/>
  <c r="R105" i="50"/>
  <c r="Q106" i="50"/>
  <c r="M94" i="50"/>
  <c r="N94" i="50"/>
  <c r="Q94" i="50"/>
  <c r="T94" i="50"/>
  <c r="S94" i="50"/>
  <c r="O94" i="50"/>
  <c r="R94" i="50"/>
  <c r="AB94" i="50"/>
  <c r="Z94" i="50"/>
  <c r="Y94" i="50"/>
  <c r="I99" i="50"/>
  <c r="H100" i="50"/>
  <c r="S105" i="50"/>
  <c r="R106" i="50"/>
  <c r="T105" i="50"/>
  <c r="S106" i="50"/>
  <c r="J99" i="50"/>
  <c r="I100" i="50"/>
  <c r="I126" i="4"/>
  <c r="I127" i="4" s="1"/>
  <c r="U105" i="50"/>
  <c r="T106" i="50"/>
  <c r="K99" i="50"/>
  <c r="J100" i="50"/>
  <c r="M126" i="4"/>
  <c r="M127" i="4" s="1"/>
  <c r="Q126" i="4"/>
  <c r="Q127" i="4" s="1"/>
  <c r="U126" i="4"/>
  <c r="U127" i="4" s="1"/>
  <c r="Y126" i="4"/>
  <c r="Y127" i="4" s="1"/>
  <c r="AC126" i="4"/>
  <c r="AC127" i="4" s="1"/>
  <c r="L99" i="50"/>
  <c r="K100" i="50"/>
  <c r="V105" i="50"/>
  <c r="U106" i="50"/>
  <c r="W105" i="50"/>
  <c r="V106" i="50"/>
  <c r="M99" i="50"/>
  <c r="L100" i="50"/>
  <c r="N99" i="50"/>
  <c r="M100" i="50"/>
  <c r="X105" i="50"/>
  <c r="W106" i="50"/>
  <c r="O99" i="50"/>
  <c r="N100" i="50"/>
  <c r="Y105" i="50"/>
  <c r="X106" i="50"/>
  <c r="O100" i="50"/>
  <c r="P99" i="50"/>
  <c r="Z105" i="50"/>
  <c r="Y106" i="50"/>
  <c r="Q99" i="50"/>
  <c r="P100" i="50"/>
  <c r="AA105" i="50"/>
  <c r="Z106" i="50"/>
  <c r="R99" i="50"/>
  <c r="Q100" i="50"/>
  <c r="AB105" i="50"/>
  <c r="AA106" i="50"/>
  <c r="S99" i="50"/>
  <c r="R100" i="50"/>
  <c r="AC105" i="50"/>
  <c r="AC106" i="50"/>
  <c r="AB106" i="50"/>
  <c r="S100" i="50"/>
  <c r="T99" i="50"/>
  <c r="U99" i="50"/>
  <c r="T100" i="50"/>
  <c r="V99" i="50"/>
  <c r="U100" i="50"/>
  <c r="W99" i="50"/>
  <c r="V100" i="50"/>
  <c r="W100" i="50"/>
  <c r="X99" i="50"/>
  <c r="Y99" i="50"/>
  <c r="X100" i="50"/>
  <c r="Z99" i="50"/>
  <c r="Y100" i="50"/>
  <c r="AA99" i="50"/>
  <c r="Z100" i="50"/>
  <c r="AB99" i="50"/>
  <c r="AA100" i="50"/>
  <c r="AC99" i="50"/>
  <c r="AC100" i="50"/>
  <c r="AB100" i="50"/>
  <c r="AE50" i="4"/>
  <c r="R29" i="4" l="1"/>
  <c r="AE90" i="4"/>
  <c r="T24" i="4"/>
  <c r="P24" i="4"/>
  <c r="N29" i="4"/>
  <c r="Y24" i="4"/>
  <c r="U24" i="4"/>
  <c r="AD24" i="4"/>
  <c r="Z24" i="4"/>
  <c r="K24" i="4"/>
  <c r="G24" i="4"/>
  <c r="AA24" i="4"/>
  <c r="AB24" i="4"/>
  <c r="F24" i="4"/>
  <c r="X24" i="4"/>
  <c r="M24" i="4"/>
  <c r="R24" i="4"/>
  <c r="Q29" i="4"/>
  <c r="H40" i="4"/>
  <c r="AE23" i="4"/>
  <c r="E39" i="4"/>
  <c r="J40" i="4" s="1"/>
  <c r="J44" i="4" s="1"/>
  <c r="AD56" i="4"/>
  <c r="AE56" i="4" s="1"/>
  <c r="AC24" i="4"/>
  <c r="W24" i="4"/>
  <c r="S24" i="4"/>
  <c r="J24" i="4"/>
  <c r="E57" i="4"/>
  <c r="E27" i="4"/>
  <c r="E29" i="4" s="1"/>
  <c r="I29" i="4"/>
  <c r="V24" i="4"/>
  <c r="Q44" i="4"/>
  <c r="Q24" i="4"/>
  <c r="L44" i="4"/>
  <c r="L24" i="4"/>
  <c r="AD162" i="4"/>
  <c r="N162" i="4"/>
  <c r="Q157" i="4"/>
  <c r="Z162" i="4"/>
  <c r="R162" i="4"/>
  <c r="J162" i="4"/>
  <c r="Y162" i="4"/>
  <c r="V162" i="4"/>
  <c r="AC162" i="4"/>
  <c r="U162" i="4"/>
  <c r="M162" i="4"/>
  <c r="G162" i="4"/>
  <c r="V29" i="4"/>
  <c r="X29" i="4"/>
  <c r="H29" i="4"/>
  <c r="L29" i="4"/>
  <c r="W29" i="4"/>
  <c r="U49" i="4"/>
  <c r="W49" i="4"/>
  <c r="AA49" i="4"/>
  <c r="AB123" i="4"/>
  <c r="AC157" i="4"/>
  <c r="U157" i="4"/>
  <c r="V157" i="4"/>
  <c r="H123" i="4"/>
  <c r="Z87" i="4"/>
  <c r="T123" i="4"/>
  <c r="O123" i="4"/>
  <c r="G43" i="4"/>
  <c r="AA54" i="29"/>
  <c r="AB102" i="29"/>
  <c r="AC91" i="4" s="1"/>
  <c r="S54" i="29"/>
  <c r="R54" i="29"/>
  <c r="P102" i="29"/>
  <c r="Q91" i="4" s="1"/>
  <c r="X54" i="29"/>
  <c r="U54" i="29"/>
  <c r="P54" i="29"/>
  <c r="K54" i="29"/>
  <c r="F54" i="29"/>
  <c r="G55" i="4" s="1"/>
  <c r="L102" i="29"/>
  <c r="M91" i="4" s="1"/>
  <c r="M54" i="29"/>
  <c r="F102" i="29"/>
  <c r="G91" i="4" s="1"/>
  <c r="H102" i="29"/>
  <c r="I91" i="4" s="1"/>
  <c r="I102" i="29"/>
  <c r="J91" i="4" s="1"/>
  <c r="J102" i="29"/>
  <c r="K91" i="4" s="1"/>
  <c r="Q102" i="29"/>
  <c r="R91" i="4" s="1"/>
  <c r="X102" i="29"/>
  <c r="Y91" i="4" s="1"/>
  <c r="Y92" i="4" s="1"/>
  <c r="AB54" i="29"/>
  <c r="L54" i="29"/>
  <c r="Y102" i="29"/>
  <c r="Z91" i="4" s="1"/>
  <c r="Z102" i="29"/>
  <c r="AA91" i="4" s="1"/>
  <c r="AC54" i="29"/>
  <c r="Z54" i="29"/>
  <c r="Q54" i="29"/>
  <c r="W54" i="29"/>
  <c r="O54" i="29"/>
  <c r="G54" i="29"/>
  <c r="H55" i="4" s="1"/>
  <c r="K102" i="29"/>
  <c r="L91" i="4" s="1"/>
  <c r="M102" i="29"/>
  <c r="N91" i="4" s="1"/>
  <c r="N92" i="4" s="1"/>
  <c r="N102" i="29"/>
  <c r="O91" i="4" s="1"/>
  <c r="Y54" i="29"/>
  <c r="T54" i="29"/>
  <c r="R102" i="29"/>
  <c r="S91" i="4" s="1"/>
  <c r="T102" i="29"/>
  <c r="U91" i="4" s="1"/>
  <c r="U102" i="29"/>
  <c r="V91" i="4" s="1"/>
  <c r="V102" i="29"/>
  <c r="W91" i="4" s="1"/>
  <c r="S102" i="29"/>
  <c r="T91" i="4" s="1"/>
  <c r="T92" i="4" s="1"/>
  <c r="X44" i="4"/>
  <c r="O102" i="29"/>
  <c r="P91" i="4" s="1"/>
  <c r="J54" i="29"/>
  <c r="H54" i="29"/>
  <c r="I55" i="4" s="1"/>
  <c r="E54" i="29"/>
  <c r="F55" i="4" s="1"/>
  <c r="AA102" i="29"/>
  <c r="AB91" i="4" s="1"/>
  <c r="V54" i="29"/>
  <c r="G102" i="29"/>
  <c r="H91" i="4" s="1"/>
  <c r="H92" i="4" s="1"/>
  <c r="H94" i="4" s="1"/>
  <c r="W102" i="29"/>
  <c r="X91" i="4" s="1"/>
  <c r="E102" i="29"/>
  <c r="F91" i="4" s="1"/>
  <c r="F92" i="4" s="1"/>
  <c r="AD44" i="4"/>
  <c r="AC44" i="4"/>
  <c r="AB44" i="4"/>
  <c r="AA44" i="4"/>
  <c r="S44" i="4"/>
  <c r="R44" i="4"/>
  <c r="N54" i="29"/>
  <c r="I54" i="29"/>
  <c r="J55" i="4" s="1"/>
  <c r="K161" i="4"/>
  <c r="K162" i="4" s="1"/>
  <c r="K126" i="4"/>
  <c r="K127" i="4" s="1"/>
  <c r="O161" i="4"/>
  <c r="O162" i="4" s="1"/>
  <c r="O126" i="4"/>
  <c r="O127" i="4" s="1"/>
  <c r="S161" i="4"/>
  <c r="S162" i="4" s="1"/>
  <c r="S126" i="4"/>
  <c r="S127" i="4" s="1"/>
  <c r="W161" i="4"/>
  <c r="W162" i="4" s="1"/>
  <c r="W126" i="4"/>
  <c r="W127" i="4" s="1"/>
  <c r="AA161" i="4"/>
  <c r="AA162" i="4" s="1"/>
  <c r="AA126" i="4"/>
  <c r="AA127" i="4" s="1"/>
  <c r="J126" i="4"/>
  <c r="J127" i="4" s="1"/>
  <c r="G59" i="29"/>
  <c r="G70" i="29" s="1"/>
  <c r="K59" i="29"/>
  <c r="K70" i="29" s="1"/>
  <c r="O59" i="29"/>
  <c r="O70" i="29" s="1"/>
  <c r="S59" i="29"/>
  <c r="S70" i="29" s="1"/>
  <c r="W59" i="29"/>
  <c r="W70" i="29" s="1"/>
  <c r="AA59" i="29"/>
  <c r="AA70" i="29" s="1"/>
  <c r="M44" i="4"/>
  <c r="AD126" i="4"/>
  <c r="AD127" i="4" s="1"/>
  <c r="Z126" i="4"/>
  <c r="Z127" i="4" s="1"/>
  <c r="V126" i="4"/>
  <c r="V127" i="4" s="1"/>
  <c r="R126" i="4"/>
  <c r="R127" i="4" s="1"/>
  <c r="N126" i="4"/>
  <c r="N127" i="4" s="1"/>
  <c r="AE43" i="4"/>
  <c r="H44" i="4"/>
  <c r="I92" i="4"/>
  <c r="M92" i="4"/>
  <c r="Q92" i="4"/>
  <c r="U92" i="4"/>
  <c r="AC92" i="4"/>
  <c r="P44" i="4"/>
  <c r="O44" i="4"/>
  <c r="N44" i="4"/>
  <c r="J92" i="4"/>
  <c r="R92" i="4"/>
  <c r="V92" i="4"/>
  <c r="Z92" i="4"/>
  <c r="AD92" i="4"/>
  <c r="Z44" i="4"/>
  <c r="Y44" i="4"/>
  <c r="G92" i="4"/>
  <c r="K92" i="4"/>
  <c r="O92" i="4"/>
  <c r="S92" i="4"/>
  <c r="W92" i="4"/>
  <c r="AA92" i="4"/>
  <c r="W44" i="4"/>
  <c r="V44" i="4"/>
  <c r="U44" i="4"/>
  <c r="T44" i="4"/>
  <c r="L92" i="4"/>
  <c r="P92" i="4"/>
  <c r="X92" i="4"/>
  <c r="AB92" i="4"/>
  <c r="AA29" i="4"/>
  <c r="Z29" i="4"/>
  <c r="Y29" i="4"/>
  <c r="J29" i="4"/>
  <c r="E24" i="4"/>
  <c r="N24" i="4"/>
  <c r="AD29" i="4"/>
  <c r="AC29" i="4"/>
  <c r="AB29" i="4"/>
  <c r="F29" i="4"/>
  <c r="U29" i="4"/>
  <c r="T29" i="4"/>
  <c r="S29" i="4"/>
  <c r="P29" i="4"/>
  <c r="O29" i="4"/>
  <c r="H24" i="4"/>
  <c r="H107" i="50"/>
  <c r="H76" i="50" s="1"/>
  <c r="H101" i="50"/>
  <c r="H75" i="50" s="1"/>
  <c r="H90" i="50"/>
  <c r="H95" i="50" s="1"/>
  <c r="H74" i="50" s="1"/>
  <c r="K29" i="4"/>
  <c r="M29" i="4"/>
  <c r="G28" i="4"/>
  <c r="G29" i="4" s="1"/>
  <c r="J49" i="4"/>
  <c r="J51" i="4" s="1"/>
  <c r="N49" i="4"/>
  <c r="N51" i="4" s="1"/>
  <c r="R49" i="4"/>
  <c r="R51" i="4" s="1"/>
  <c r="V49" i="4"/>
  <c r="V51" i="4" s="1"/>
  <c r="Z49" i="4"/>
  <c r="Z51" i="4" s="1"/>
  <c r="AD49" i="4"/>
  <c r="AD51" i="4" s="1"/>
  <c r="AC13" i="4"/>
  <c r="AB86" i="50" s="1"/>
  <c r="AA13" i="4"/>
  <c r="Z86" i="50" s="1"/>
  <c r="Y13" i="4"/>
  <c r="X86" i="50" s="1"/>
  <c r="W13" i="4"/>
  <c r="V86" i="50" s="1"/>
  <c r="U13" i="4"/>
  <c r="T86" i="50" s="1"/>
  <c r="S13" i="4"/>
  <c r="R86" i="50" s="1"/>
  <c r="Q13" i="4"/>
  <c r="P86" i="50" s="1"/>
  <c r="O13" i="4"/>
  <c r="N86" i="50" s="1"/>
  <c r="M13" i="4"/>
  <c r="L86" i="50" s="1"/>
  <c r="K13" i="4"/>
  <c r="J86" i="50" s="1"/>
  <c r="H13" i="4"/>
  <c r="G86" i="50" s="1"/>
  <c r="F60" i="33"/>
  <c r="Y81" i="4"/>
  <c r="Y82" i="4" s="1"/>
  <c r="U81" i="4"/>
  <c r="U82" i="4" s="1"/>
  <c r="Q81" i="4"/>
  <c r="Q82" i="4" s="1"/>
  <c r="M81" i="4"/>
  <c r="M82" i="4" s="1"/>
  <c r="I81" i="4"/>
  <c r="I82" i="4" s="1"/>
  <c r="J13" i="4"/>
  <c r="I86" i="50" s="1"/>
  <c r="F13" i="4"/>
  <c r="V81" i="4"/>
  <c r="V82" i="4" s="1"/>
  <c r="R81" i="4"/>
  <c r="R82" i="4" s="1"/>
  <c r="N81" i="4"/>
  <c r="N82" i="4" s="1"/>
  <c r="J81" i="4"/>
  <c r="J82" i="4" s="1"/>
  <c r="F81" i="4"/>
  <c r="D9" i="50"/>
  <c r="D11" i="50" s="1"/>
  <c r="H49" i="4"/>
  <c r="L49" i="4"/>
  <c r="L51" i="4" s="1"/>
  <c r="P49" i="4"/>
  <c r="P51" i="4" s="1"/>
  <c r="T49" i="4"/>
  <c r="T51" i="4" s="1"/>
  <c r="X49" i="4"/>
  <c r="X51" i="4" s="1"/>
  <c r="AB49" i="4"/>
  <c r="AB51" i="4" s="1"/>
  <c r="AD81" i="4"/>
  <c r="AD82" i="4" s="1"/>
  <c r="AC81" i="4"/>
  <c r="AC82" i="4" s="1"/>
  <c r="AB81" i="4"/>
  <c r="AB82" i="4" s="1"/>
  <c r="AA81" i="4"/>
  <c r="AA82" i="4" s="1"/>
  <c r="Z81" i="4"/>
  <c r="Z82" i="4" s="1"/>
  <c r="AD13" i="4"/>
  <c r="AC86" i="50" s="1"/>
  <c r="AB13" i="4"/>
  <c r="AA86" i="50" s="1"/>
  <c r="Z13" i="4"/>
  <c r="Y86" i="50" s="1"/>
  <c r="X13" i="4"/>
  <c r="W86" i="50" s="1"/>
  <c r="V13" i="4"/>
  <c r="U86" i="50" s="1"/>
  <c r="T13" i="4"/>
  <c r="S86" i="50" s="1"/>
  <c r="R13" i="4"/>
  <c r="Q86" i="50" s="1"/>
  <c r="P13" i="4"/>
  <c r="O86" i="50" s="1"/>
  <c r="N13" i="4"/>
  <c r="M86" i="50" s="1"/>
  <c r="L13" i="4"/>
  <c r="K86" i="50" s="1"/>
  <c r="F49" i="4"/>
  <c r="W81" i="4"/>
  <c r="W82" i="4" s="1"/>
  <c r="S81" i="4"/>
  <c r="S82" i="4" s="1"/>
  <c r="O81" i="4"/>
  <c r="O82" i="4" s="1"/>
  <c r="K81" i="4"/>
  <c r="K82" i="4" s="1"/>
  <c r="G81" i="4"/>
  <c r="G82" i="4" s="1"/>
  <c r="Y49" i="4"/>
  <c r="AC49" i="4"/>
  <c r="G13" i="4"/>
  <c r="F86" i="50" s="1"/>
  <c r="X81" i="4"/>
  <c r="X82" i="4" s="1"/>
  <c r="T81" i="4"/>
  <c r="T82" i="4" s="1"/>
  <c r="P81" i="4"/>
  <c r="P82" i="4" s="1"/>
  <c r="L81" i="4"/>
  <c r="L82" i="4" s="1"/>
  <c r="Z157" i="4"/>
  <c r="G51" i="4"/>
  <c r="W157" i="4"/>
  <c r="S157" i="4"/>
  <c r="R157" i="4"/>
  <c r="N157" i="4"/>
  <c r="M157" i="4"/>
  <c r="J157" i="4"/>
  <c r="I157" i="4"/>
  <c r="W123" i="4"/>
  <c r="P123" i="4"/>
  <c r="X123" i="4"/>
  <c r="J123" i="4"/>
  <c r="AC123" i="4"/>
  <c r="AC129" i="4" s="1"/>
  <c r="AA123" i="4"/>
  <c r="H157" i="4"/>
  <c r="F157" i="4"/>
  <c r="L123" i="4"/>
  <c r="AD123" i="4"/>
  <c r="AC87" i="4"/>
  <c r="Z123" i="4"/>
  <c r="X157" i="4"/>
  <c r="U123" i="4"/>
  <c r="V87" i="4"/>
  <c r="AB157" i="4"/>
  <c r="L157" i="4"/>
  <c r="AD87" i="4"/>
  <c r="Y123" i="4"/>
  <c r="S123" i="4"/>
  <c r="R123" i="4"/>
  <c r="I123" i="4"/>
  <c r="W87" i="4"/>
  <c r="S87" i="4"/>
  <c r="O87" i="4"/>
  <c r="K87" i="4"/>
  <c r="G87" i="4"/>
  <c r="AA157" i="4"/>
  <c r="P157" i="4"/>
  <c r="K157" i="4"/>
  <c r="G157" i="4"/>
  <c r="V123" i="4"/>
  <c r="V129" i="4" s="1"/>
  <c r="M123" i="4"/>
  <c r="G123" i="4"/>
  <c r="G129" i="4" s="1"/>
  <c r="F123" i="4"/>
  <c r="T87" i="4"/>
  <c r="P87" i="4"/>
  <c r="P94" i="4" s="1"/>
  <c r="L87" i="4"/>
  <c r="T157" i="4"/>
  <c r="O157" i="4"/>
  <c r="AB87" i="4"/>
  <c r="AA87" i="4"/>
  <c r="Q123" i="4"/>
  <c r="Q129" i="4" s="1"/>
  <c r="Y87" i="4"/>
  <c r="U87" i="4"/>
  <c r="Q87" i="4"/>
  <c r="M87" i="4"/>
  <c r="I87" i="4"/>
  <c r="I94" i="4" s="1"/>
  <c r="AE152" i="4"/>
  <c r="E164" i="4"/>
  <c r="E165" i="4" s="1"/>
  <c r="AE118" i="4"/>
  <c r="E129" i="4"/>
  <c r="E130" i="4" s="1"/>
  <c r="L94" i="4"/>
  <c r="N129" i="4"/>
  <c r="K129" i="4"/>
  <c r="I129" i="4"/>
  <c r="AE122" i="4"/>
  <c r="AC164" i="4"/>
  <c r="Y164" i="4"/>
  <c r="U164" i="4"/>
  <c r="Q164" i="4"/>
  <c r="M164" i="4"/>
  <c r="I164" i="4"/>
  <c r="AA51" i="4"/>
  <c r="W51" i="4"/>
  <c r="S51" i="4"/>
  <c r="O51" i="4"/>
  <c r="K51" i="4"/>
  <c r="AA94" i="4"/>
  <c r="J129" i="4"/>
  <c r="AE121" i="4"/>
  <c r="AD164" i="4"/>
  <c r="Z164" i="4"/>
  <c r="V164" i="4"/>
  <c r="R164" i="4"/>
  <c r="N164" i="4"/>
  <c r="J164" i="4"/>
  <c r="AE85" i="4"/>
  <c r="W129" i="4"/>
  <c r="O129" i="4"/>
  <c r="Y129" i="4"/>
  <c r="U129" i="4"/>
  <c r="M129" i="4"/>
  <c r="AE155" i="4"/>
  <c r="AD129" i="4"/>
  <c r="AA129" i="4"/>
  <c r="AE151" i="4"/>
  <c r="AA164" i="4"/>
  <c r="W164" i="4"/>
  <c r="S164" i="4"/>
  <c r="O164" i="4"/>
  <c r="K164" i="4"/>
  <c r="G164" i="4"/>
  <c r="AE86" i="4"/>
  <c r="AC51" i="4"/>
  <c r="Y51" i="4"/>
  <c r="U51" i="4"/>
  <c r="Q51" i="4"/>
  <c r="M51" i="4"/>
  <c r="I51" i="4"/>
  <c r="H51" i="4"/>
  <c r="F51" i="4"/>
  <c r="E51" i="4"/>
  <c r="E94" i="4"/>
  <c r="E98" i="4"/>
  <c r="F126" i="4"/>
  <c r="F162" i="4"/>
  <c r="G40" i="4" l="1"/>
  <c r="F40" i="4"/>
  <c r="F44" i="4" s="1"/>
  <c r="X94" i="4"/>
  <c r="AE24" i="4"/>
  <c r="G44" i="4"/>
  <c r="K40" i="4"/>
  <c r="K44" i="4" s="1"/>
  <c r="K58" i="33"/>
  <c r="L58" i="33" s="1"/>
  <c r="AE39" i="4"/>
  <c r="E44" i="4"/>
  <c r="I40" i="4"/>
  <c r="I44" i="4" s="1"/>
  <c r="R94" i="4"/>
  <c r="N94" i="4"/>
  <c r="J94" i="4"/>
  <c r="AE49" i="4"/>
  <c r="E172" i="4"/>
  <c r="F172" i="4" s="1"/>
  <c r="Z94" i="4"/>
  <c r="AE157" i="4"/>
  <c r="AE87" i="4"/>
  <c r="AE123" i="4"/>
  <c r="O94" i="4"/>
  <c r="R129" i="4"/>
  <c r="T94" i="4"/>
  <c r="Y94" i="4"/>
  <c r="AB94" i="4"/>
  <c r="K94" i="4"/>
  <c r="AD94" i="4"/>
  <c r="AC94" i="4"/>
  <c r="U94" i="4"/>
  <c r="Z129" i="4"/>
  <c r="V94" i="4"/>
  <c r="Q94" i="4"/>
  <c r="AE91" i="4"/>
  <c r="S129" i="4"/>
  <c r="S94" i="4"/>
  <c r="AE55" i="4"/>
  <c r="K62" i="33"/>
  <c r="L62" i="33" s="1"/>
  <c r="E103" i="4"/>
  <c r="F103" i="4" s="1"/>
  <c r="X161" i="4"/>
  <c r="X162" i="4" s="1"/>
  <c r="X164" i="4" s="1"/>
  <c r="X126" i="4"/>
  <c r="X127" i="4" s="1"/>
  <c r="X129" i="4" s="1"/>
  <c r="H161" i="4"/>
  <c r="H126" i="4"/>
  <c r="H127" i="4" s="1"/>
  <c r="H129" i="4" s="1"/>
  <c r="T161" i="4"/>
  <c r="T162" i="4" s="1"/>
  <c r="T164" i="4" s="1"/>
  <c r="T126" i="4"/>
  <c r="T127" i="4" s="1"/>
  <c r="T129" i="4" s="1"/>
  <c r="AE92" i="4"/>
  <c r="P161" i="4"/>
  <c r="P162" i="4" s="1"/>
  <c r="P164" i="4" s="1"/>
  <c r="P126" i="4"/>
  <c r="P127" i="4" s="1"/>
  <c r="P129" i="4" s="1"/>
  <c r="AB161" i="4"/>
  <c r="AB162" i="4" s="1"/>
  <c r="AB164" i="4" s="1"/>
  <c r="AB126" i="4"/>
  <c r="AB127" i="4" s="1"/>
  <c r="AB129" i="4" s="1"/>
  <c r="L161" i="4"/>
  <c r="L162" i="4" s="1"/>
  <c r="L164" i="4" s="1"/>
  <c r="L126" i="4"/>
  <c r="L127" i="4" s="1"/>
  <c r="L129" i="4" s="1"/>
  <c r="G94" i="4"/>
  <c r="W94" i="4"/>
  <c r="O90" i="50"/>
  <c r="O95" i="50" s="1"/>
  <c r="O74" i="50" s="1"/>
  <c r="O107" i="50"/>
  <c r="O76" i="50" s="1"/>
  <c r="O101" i="50"/>
  <c r="O75" i="50" s="1"/>
  <c r="W101" i="50"/>
  <c r="W75" i="50" s="1"/>
  <c r="W90" i="50"/>
  <c r="W95" i="50" s="1"/>
  <c r="W74" i="50" s="1"/>
  <c r="W107" i="50"/>
  <c r="W76" i="50" s="1"/>
  <c r="L90" i="50"/>
  <c r="L95" i="50" s="1"/>
  <c r="L74" i="50" s="1"/>
  <c r="L107" i="50"/>
  <c r="L76" i="50" s="1"/>
  <c r="L101" i="50"/>
  <c r="L75" i="50" s="1"/>
  <c r="T107" i="50"/>
  <c r="T76" i="50" s="1"/>
  <c r="T101" i="50"/>
  <c r="T75" i="50" s="1"/>
  <c r="T90" i="50"/>
  <c r="T95" i="50" s="1"/>
  <c r="T74" i="50" s="1"/>
  <c r="AB90" i="50"/>
  <c r="AB95" i="50" s="1"/>
  <c r="AB74" i="50" s="1"/>
  <c r="AB107" i="50"/>
  <c r="AB76" i="50" s="1"/>
  <c r="AB101" i="50"/>
  <c r="AB75" i="50" s="1"/>
  <c r="F90" i="50"/>
  <c r="F95" i="50" s="1"/>
  <c r="F74" i="50" s="1"/>
  <c r="F107" i="50"/>
  <c r="F76" i="50" s="1"/>
  <c r="F101" i="50"/>
  <c r="F75" i="50" s="1"/>
  <c r="Q101" i="50"/>
  <c r="Q75" i="50" s="1"/>
  <c r="Q90" i="50"/>
  <c r="Q95" i="50" s="1"/>
  <c r="Q74" i="50" s="1"/>
  <c r="Q107" i="50"/>
  <c r="Q76" i="50" s="1"/>
  <c r="Y107" i="50"/>
  <c r="Y76" i="50" s="1"/>
  <c r="Y101" i="50"/>
  <c r="Y75" i="50" s="1"/>
  <c r="Y90" i="50"/>
  <c r="Y95" i="50" s="1"/>
  <c r="Y74" i="50" s="1"/>
  <c r="F82" i="4"/>
  <c r="AE81" i="4"/>
  <c r="N101" i="50"/>
  <c r="N75" i="50" s="1"/>
  <c r="N90" i="50"/>
  <c r="N95" i="50" s="1"/>
  <c r="N74" i="50" s="1"/>
  <c r="N107" i="50"/>
  <c r="N76" i="50" s="1"/>
  <c r="V101" i="50"/>
  <c r="V75" i="50" s="1"/>
  <c r="V90" i="50"/>
  <c r="V95" i="50" s="1"/>
  <c r="V74" i="50" s="1"/>
  <c r="V107" i="50"/>
  <c r="V76" i="50" s="1"/>
  <c r="K107" i="50"/>
  <c r="K76" i="50" s="1"/>
  <c r="K101" i="50"/>
  <c r="K75" i="50" s="1"/>
  <c r="K90" i="50"/>
  <c r="K95" i="50" s="1"/>
  <c r="K74" i="50" s="1"/>
  <c r="S90" i="50"/>
  <c r="S95" i="50" s="1"/>
  <c r="S74" i="50" s="1"/>
  <c r="S107" i="50"/>
  <c r="S76" i="50" s="1"/>
  <c r="S101" i="50"/>
  <c r="S75" i="50" s="1"/>
  <c r="AA101" i="50"/>
  <c r="AA75" i="50" s="1"/>
  <c r="AA90" i="50"/>
  <c r="AA95" i="50" s="1"/>
  <c r="AA74" i="50" s="1"/>
  <c r="AA107" i="50"/>
  <c r="AA76" i="50" s="1"/>
  <c r="E86" i="50"/>
  <c r="F15" i="4"/>
  <c r="G107" i="50"/>
  <c r="G76" i="50" s="1"/>
  <c r="G101" i="50"/>
  <c r="G75" i="50" s="1"/>
  <c r="G90" i="50"/>
  <c r="G95" i="50" s="1"/>
  <c r="G74" i="50" s="1"/>
  <c r="P107" i="50"/>
  <c r="P76" i="50" s="1"/>
  <c r="P101" i="50"/>
  <c r="P75" i="50" s="1"/>
  <c r="P90" i="50"/>
  <c r="P95" i="50" s="1"/>
  <c r="P74" i="50" s="1"/>
  <c r="X90" i="50"/>
  <c r="X95" i="50" s="1"/>
  <c r="X74" i="50" s="1"/>
  <c r="X107" i="50"/>
  <c r="X76" i="50" s="1"/>
  <c r="X101" i="50"/>
  <c r="X75" i="50" s="1"/>
  <c r="M101" i="50"/>
  <c r="M75" i="50" s="1"/>
  <c r="M90" i="50"/>
  <c r="M95" i="50" s="1"/>
  <c r="M74" i="50" s="1"/>
  <c r="M107" i="50"/>
  <c r="M76" i="50" s="1"/>
  <c r="U101" i="50"/>
  <c r="U75" i="50" s="1"/>
  <c r="U90" i="50"/>
  <c r="U95" i="50" s="1"/>
  <c r="U74" i="50" s="1"/>
  <c r="U107" i="50"/>
  <c r="U76" i="50" s="1"/>
  <c r="AC107" i="50"/>
  <c r="AC76" i="50" s="1"/>
  <c r="AC101" i="50"/>
  <c r="AC75" i="50" s="1"/>
  <c r="AC90" i="50"/>
  <c r="AC95" i="50" s="1"/>
  <c r="AC74" i="50" s="1"/>
  <c r="H40" i="50"/>
  <c r="I40" i="50" s="1"/>
  <c r="D40" i="50" s="1"/>
  <c r="H39" i="50"/>
  <c r="G20" i="50"/>
  <c r="G22" i="50"/>
  <c r="G21" i="50"/>
  <c r="I101" i="50"/>
  <c r="I75" i="50" s="1"/>
  <c r="I90" i="50"/>
  <c r="I95" i="50" s="1"/>
  <c r="I74" i="50" s="1"/>
  <c r="I107" i="50"/>
  <c r="I76" i="50" s="1"/>
  <c r="J90" i="50"/>
  <c r="J95" i="50" s="1"/>
  <c r="J74" i="50" s="1"/>
  <c r="J107" i="50"/>
  <c r="J76" i="50" s="1"/>
  <c r="J101" i="50"/>
  <c r="J75" i="50" s="1"/>
  <c r="R101" i="50"/>
  <c r="R75" i="50" s="1"/>
  <c r="R90" i="50"/>
  <c r="R95" i="50" s="1"/>
  <c r="R74" i="50" s="1"/>
  <c r="R107" i="50"/>
  <c r="R76" i="50" s="1"/>
  <c r="Z101" i="50"/>
  <c r="Z75" i="50" s="1"/>
  <c r="Z90" i="50"/>
  <c r="Z95" i="50" s="1"/>
  <c r="Z74" i="50" s="1"/>
  <c r="Z107" i="50"/>
  <c r="Z76" i="50" s="1"/>
  <c r="M94" i="4"/>
  <c r="E137" i="4"/>
  <c r="E14" i="44" s="1"/>
  <c r="AE51" i="4"/>
  <c r="F14" i="44"/>
  <c r="E95" i="4"/>
  <c r="F127" i="4"/>
  <c r="F164" i="4"/>
  <c r="F19" i="44" s="1"/>
  <c r="AE44" i="4" l="1"/>
  <c r="AE40" i="4"/>
  <c r="K65" i="33"/>
  <c r="L65" i="33" s="1"/>
  <c r="F137" i="4"/>
  <c r="G15" i="44"/>
  <c r="AE126" i="4"/>
  <c r="H162" i="4"/>
  <c r="AE161" i="4"/>
  <c r="F13" i="33"/>
  <c r="F94" i="4"/>
  <c r="AG94" i="4" s="1"/>
  <c r="AG95" i="4" s="1"/>
  <c r="AE82" i="4"/>
  <c r="E102" i="4"/>
  <c r="E83" i="50"/>
  <c r="F54" i="4" s="1"/>
  <c r="F57" i="4" s="1"/>
  <c r="E84" i="50"/>
  <c r="G15" i="4"/>
  <c r="I39" i="50"/>
  <c r="H42" i="50"/>
  <c r="H68" i="50" s="1"/>
  <c r="E101" i="50"/>
  <c r="E75" i="50" s="1"/>
  <c r="AD75" i="50" s="1"/>
  <c r="E90" i="50"/>
  <c r="E95" i="50" s="1"/>
  <c r="E74" i="50" s="1"/>
  <c r="E107" i="50"/>
  <c r="E76" i="50" s="1"/>
  <c r="AD76" i="50" s="1"/>
  <c r="E138" i="4"/>
  <c r="F129" i="4"/>
  <c r="E19" i="44" s="1"/>
  <c r="AE127" i="4"/>
  <c r="F12" i="33"/>
  <c r="E168" i="4"/>
  <c r="F165" i="4"/>
  <c r="F95" i="4" l="1"/>
  <c r="G95" i="4" s="1"/>
  <c r="H95" i="4" s="1"/>
  <c r="I95" i="4" s="1"/>
  <c r="J95" i="4" s="1"/>
  <c r="K95" i="4" s="1"/>
  <c r="L95" i="4" s="1"/>
  <c r="M95" i="4" s="1"/>
  <c r="N95" i="4" s="1"/>
  <c r="O95" i="4" s="1"/>
  <c r="P95" i="4" s="1"/>
  <c r="Q95" i="4" s="1"/>
  <c r="R95" i="4" s="1"/>
  <c r="S95" i="4" s="1"/>
  <c r="T95" i="4" s="1"/>
  <c r="U95" i="4" s="1"/>
  <c r="V95" i="4" s="1"/>
  <c r="W95" i="4" s="1"/>
  <c r="X95" i="4" s="1"/>
  <c r="Y95" i="4" s="1"/>
  <c r="Z95" i="4" s="1"/>
  <c r="AA95" i="4" s="1"/>
  <c r="AB95" i="4" s="1"/>
  <c r="AC95" i="4" s="1"/>
  <c r="AD95" i="4" s="1"/>
  <c r="G19" i="44"/>
  <c r="H164" i="4"/>
  <c r="E173" i="4"/>
  <c r="AE162" i="4"/>
  <c r="D29" i="50"/>
  <c r="D76" i="50"/>
  <c r="F83" i="50"/>
  <c r="G54" i="4" s="1"/>
  <c r="G57" i="4" s="1"/>
  <c r="H15" i="4"/>
  <c r="F84" i="50"/>
  <c r="E107" i="4"/>
  <c r="E105" i="4"/>
  <c r="E106" i="4"/>
  <c r="G18" i="44" s="1"/>
  <c r="AE94" i="4"/>
  <c r="E99" i="4"/>
  <c r="AD74" i="50"/>
  <c r="E119" i="50"/>
  <c r="E112" i="50"/>
  <c r="E113" i="50" s="1"/>
  <c r="E115" i="50" s="1"/>
  <c r="E77" i="50" s="1"/>
  <c r="E118" i="50"/>
  <c r="D28" i="50"/>
  <c r="D75" i="50"/>
  <c r="I42" i="50"/>
  <c r="D39" i="50"/>
  <c r="G14" i="44"/>
  <c r="F102" i="4"/>
  <c r="E104" i="4"/>
  <c r="F130" i="4"/>
  <c r="E133" i="4"/>
  <c r="AE129" i="4"/>
  <c r="E140" i="4"/>
  <c r="E142" i="4"/>
  <c r="E141" i="4"/>
  <c r="F138" i="4"/>
  <c r="E139" i="4"/>
  <c r="E15" i="44"/>
  <c r="G165" i="4"/>
  <c r="F166" i="4"/>
  <c r="F96" i="4" l="1"/>
  <c r="G96" i="4" s="1"/>
  <c r="H96" i="4" s="1"/>
  <c r="I96" i="4" s="1"/>
  <c r="J96" i="4" s="1"/>
  <c r="K96" i="4" s="1"/>
  <c r="L96" i="4" s="1"/>
  <c r="M96" i="4" s="1"/>
  <c r="N96" i="4" s="1"/>
  <c r="O96" i="4" s="1"/>
  <c r="P96" i="4" s="1"/>
  <c r="Q96" i="4" s="1"/>
  <c r="R96" i="4" s="1"/>
  <c r="S96" i="4" s="1"/>
  <c r="T96" i="4" s="1"/>
  <c r="U96" i="4" s="1"/>
  <c r="V96" i="4" s="1"/>
  <c r="W96" i="4" s="1"/>
  <c r="X96" i="4" s="1"/>
  <c r="Y96" i="4" s="1"/>
  <c r="Z96" i="4" s="1"/>
  <c r="AA96" i="4" s="1"/>
  <c r="AB96" i="4" s="1"/>
  <c r="AC96" i="4" s="1"/>
  <c r="AD96" i="4" s="1"/>
  <c r="F15" i="44"/>
  <c r="F173" i="4"/>
  <c r="E174" i="4"/>
  <c r="E175" i="4"/>
  <c r="E176" i="4"/>
  <c r="AE164" i="4"/>
  <c r="E177" i="4"/>
  <c r="G16" i="44"/>
  <c r="E108" i="4"/>
  <c r="F104" i="4"/>
  <c r="D27" i="50"/>
  <c r="D74" i="50"/>
  <c r="E121" i="50"/>
  <c r="E78" i="50" s="1"/>
  <c r="F105" i="4"/>
  <c r="G17" i="44"/>
  <c r="G84" i="50"/>
  <c r="I15" i="4"/>
  <c r="G83" i="50"/>
  <c r="H54" i="4" s="1"/>
  <c r="H57" i="4" s="1"/>
  <c r="D19" i="50"/>
  <c r="I68" i="50"/>
  <c r="D68" i="50" s="1"/>
  <c r="E28" i="50"/>
  <c r="G28" i="50"/>
  <c r="F112" i="50"/>
  <c r="F113" i="50" s="1"/>
  <c r="F115" i="50" s="1"/>
  <c r="F77" i="50" s="1"/>
  <c r="F118" i="50"/>
  <c r="F119" i="50"/>
  <c r="E29" i="50"/>
  <c r="G29" i="50"/>
  <c r="F131" i="4"/>
  <c r="G130" i="4"/>
  <c r="E143" i="4"/>
  <c r="E18" i="44" s="1"/>
  <c r="E16" i="44"/>
  <c r="F139" i="4"/>
  <c r="E17" i="44"/>
  <c r="F140" i="4"/>
  <c r="G166" i="4"/>
  <c r="H166" i="4" s="1"/>
  <c r="I166" i="4" s="1"/>
  <c r="J166" i="4" s="1"/>
  <c r="K166" i="4" s="1"/>
  <c r="L166" i="4" s="1"/>
  <c r="M166" i="4" s="1"/>
  <c r="N166" i="4" s="1"/>
  <c r="O166" i="4" s="1"/>
  <c r="P166" i="4" s="1"/>
  <c r="Q166" i="4" s="1"/>
  <c r="R166" i="4" s="1"/>
  <c r="S166" i="4" s="1"/>
  <c r="T166" i="4" s="1"/>
  <c r="U166" i="4" s="1"/>
  <c r="V166" i="4" s="1"/>
  <c r="W166" i="4" s="1"/>
  <c r="X166" i="4" s="1"/>
  <c r="Y166" i="4" s="1"/>
  <c r="Z166" i="4" s="1"/>
  <c r="AA166" i="4" s="1"/>
  <c r="AB166" i="4" s="1"/>
  <c r="AC166" i="4" s="1"/>
  <c r="AD166" i="4" s="1"/>
  <c r="H165" i="4"/>
  <c r="I165" i="4" s="1"/>
  <c r="J165" i="4" s="1"/>
  <c r="K165" i="4" s="1"/>
  <c r="L165" i="4" s="1"/>
  <c r="M165" i="4" s="1"/>
  <c r="N165" i="4" s="1"/>
  <c r="O165" i="4" s="1"/>
  <c r="P165" i="4" s="1"/>
  <c r="Q165" i="4" s="1"/>
  <c r="R165" i="4" s="1"/>
  <c r="S165" i="4" s="1"/>
  <c r="T165" i="4" s="1"/>
  <c r="U165" i="4" s="1"/>
  <c r="V165" i="4" s="1"/>
  <c r="W165" i="4" s="1"/>
  <c r="X165" i="4" s="1"/>
  <c r="Y165" i="4" s="1"/>
  <c r="Z165" i="4" s="1"/>
  <c r="AA165" i="4" s="1"/>
  <c r="AB165" i="4" s="1"/>
  <c r="AC165" i="4" s="1"/>
  <c r="AD165" i="4" s="1"/>
  <c r="E169" i="4"/>
  <c r="E96" i="4" l="1"/>
  <c r="E109" i="4" s="1"/>
  <c r="G20" i="44" s="1"/>
  <c r="F175" i="4"/>
  <c r="F17" i="44"/>
  <c r="H13" i="33" s="1"/>
  <c r="E178" i="4"/>
  <c r="F18" i="44" s="1"/>
  <c r="F174" i="4"/>
  <c r="F16" i="44"/>
  <c r="F121" i="50"/>
  <c r="F78" i="50" s="1"/>
  <c r="J15" i="4"/>
  <c r="H84" i="50"/>
  <c r="H83" i="50"/>
  <c r="I54" i="4" s="1"/>
  <c r="I57" i="4" s="1"/>
  <c r="F79" i="50"/>
  <c r="G33" i="4" s="1"/>
  <c r="G36" i="4" s="1"/>
  <c r="G59" i="4" s="1"/>
  <c r="G119" i="50"/>
  <c r="G112" i="50"/>
  <c r="G113" i="50" s="1"/>
  <c r="G115" i="50" s="1"/>
  <c r="G77" i="50" s="1"/>
  <c r="G118" i="50"/>
  <c r="G131" i="4"/>
  <c r="E19" i="50"/>
  <c r="G19" i="50"/>
  <c r="G27" i="50"/>
  <c r="E27" i="50"/>
  <c r="E79" i="50"/>
  <c r="A13" i="33"/>
  <c r="H130" i="4"/>
  <c r="I130" i="4" s="1"/>
  <c r="J130" i="4" s="1"/>
  <c r="K130" i="4" s="1"/>
  <c r="L130" i="4" s="1"/>
  <c r="M130" i="4" s="1"/>
  <c r="N130" i="4" s="1"/>
  <c r="O130" i="4" s="1"/>
  <c r="P130" i="4" s="1"/>
  <c r="Q130" i="4" s="1"/>
  <c r="R130" i="4" s="1"/>
  <c r="S130" i="4" s="1"/>
  <c r="T130" i="4" s="1"/>
  <c r="U130" i="4" s="1"/>
  <c r="V130" i="4" s="1"/>
  <c r="W130" i="4" s="1"/>
  <c r="X130" i="4" s="1"/>
  <c r="Y130" i="4" s="1"/>
  <c r="Z130" i="4" s="1"/>
  <c r="AA130" i="4" s="1"/>
  <c r="AB130" i="4" s="1"/>
  <c r="AC130" i="4" s="1"/>
  <c r="AD130" i="4" s="1"/>
  <c r="E134" i="4"/>
  <c r="E166" i="4"/>
  <c r="E179" i="4" s="1"/>
  <c r="F20" i="44" s="1"/>
  <c r="D23" i="50" l="1"/>
  <c r="F33" i="4"/>
  <c r="G121" i="50"/>
  <c r="G78" i="50" s="1"/>
  <c r="G79" i="50" s="1"/>
  <c r="H119" i="50"/>
  <c r="H112" i="50"/>
  <c r="H113" i="50" s="1"/>
  <c r="H115" i="50" s="1"/>
  <c r="H77" i="50" s="1"/>
  <c r="H118" i="50"/>
  <c r="I84" i="50"/>
  <c r="I83" i="50"/>
  <c r="J54" i="4" s="1"/>
  <c r="J57" i="4" s="1"/>
  <c r="K15" i="4"/>
  <c r="H131" i="4"/>
  <c r="H121" i="50" l="1"/>
  <c r="H78" i="50" s="1"/>
  <c r="H33" i="4"/>
  <c r="H36" i="4" s="1"/>
  <c r="H59" i="4" s="1"/>
  <c r="I112" i="50"/>
  <c r="I113" i="50" s="1"/>
  <c r="I115" i="50" s="1"/>
  <c r="I77" i="50" s="1"/>
  <c r="I118" i="50"/>
  <c r="I119" i="50"/>
  <c r="F36" i="4"/>
  <c r="F59" i="4" s="1"/>
  <c r="E64" i="4" s="1"/>
  <c r="J83" i="50"/>
  <c r="K54" i="4" s="1"/>
  <c r="K57" i="4" s="1"/>
  <c r="L15" i="4"/>
  <c r="J84" i="50"/>
  <c r="H79" i="50"/>
  <c r="I33" i="4" s="1"/>
  <c r="I36" i="4" s="1"/>
  <c r="I59" i="4" s="1"/>
  <c r="E23" i="50"/>
  <c r="G23" i="50"/>
  <c r="D24" i="50"/>
  <c r="I131" i="4"/>
  <c r="J131" i="4" s="1"/>
  <c r="K131" i="4" s="1"/>
  <c r="L131" i="4" s="1"/>
  <c r="M131" i="4" s="1"/>
  <c r="N131" i="4" s="1"/>
  <c r="O131" i="4" s="1"/>
  <c r="P131" i="4" s="1"/>
  <c r="Q131" i="4" s="1"/>
  <c r="R131" i="4" s="1"/>
  <c r="S131" i="4" s="1"/>
  <c r="T131" i="4" s="1"/>
  <c r="U131" i="4" s="1"/>
  <c r="V131" i="4" s="1"/>
  <c r="W131" i="4" s="1"/>
  <c r="X131" i="4" s="1"/>
  <c r="Y131" i="4" s="1"/>
  <c r="Z131" i="4" s="1"/>
  <c r="AA131" i="4" s="1"/>
  <c r="AB131" i="4" s="1"/>
  <c r="AC131" i="4" s="1"/>
  <c r="AD131" i="4" s="1"/>
  <c r="I121" i="50" l="1"/>
  <c r="I78" i="50" s="1"/>
  <c r="E32" i="4"/>
  <c r="G24" i="50"/>
  <c r="E24" i="50"/>
  <c r="I79" i="50"/>
  <c r="J33" i="4" s="1"/>
  <c r="J36" i="4" s="1"/>
  <c r="J59" i="4" s="1"/>
  <c r="J112" i="50"/>
  <c r="J113" i="50" s="1"/>
  <c r="J115" i="50" s="1"/>
  <c r="J77" i="50" s="1"/>
  <c r="J118" i="50"/>
  <c r="J119" i="50"/>
  <c r="K84" i="50"/>
  <c r="K83" i="50"/>
  <c r="L54" i="4" s="1"/>
  <c r="L57" i="4" s="1"/>
  <c r="M15" i="4"/>
  <c r="E131" i="4"/>
  <c r="E144" i="4" s="1"/>
  <c r="J121" i="50" l="1"/>
  <c r="J78" i="50" s="1"/>
  <c r="J79" i="50" s="1"/>
  <c r="L83" i="50"/>
  <c r="M54" i="4" s="1"/>
  <c r="M57" i="4" s="1"/>
  <c r="N15" i="4"/>
  <c r="L84" i="50"/>
  <c r="K119" i="50"/>
  <c r="K112" i="50"/>
  <c r="K113" i="50" s="1"/>
  <c r="K115" i="50" s="1"/>
  <c r="K77" i="50" s="1"/>
  <c r="K118" i="50"/>
  <c r="K121" i="50" s="1"/>
  <c r="K78" i="50" s="1"/>
  <c r="E36" i="4"/>
  <c r="AE32" i="4"/>
  <c r="E20" i="44"/>
  <c r="A12" i="33"/>
  <c r="K79" i="50" l="1"/>
  <c r="L33" i="4" s="1"/>
  <c r="L36" i="4" s="1"/>
  <c r="L59" i="4" s="1"/>
  <c r="E59" i="4"/>
  <c r="K33" i="4"/>
  <c r="L112" i="50"/>
  <c r="L113" i="50" s="1"/>
  <c r="L115" i="50" s="1"/>
  <c r="L77" i="50" s="1"/>
  <c r="L118" i="50"/>
  <c r="L121" i="50" s="1"/>
  <c r="L78" i="50" s="1"/>
  <c r="L119" i="50"/>
  <c r="O15" i="4"/>
  <c r="M84" i="50"/>
  <c r="M83" i="50"/>
  <c r="N54" i="4" s="1"/>
  <c r="N57" i="4" s="1"/>
  <c r="K36" i="4" l="1"/>
  <c r="E60" i="4"/>
  <c r="F60" i="4" s="1"/>
  <c r="E63" i="4"/>
  <c r="L79" i="50"/>
  <c r="M112" i="50"/>
  <c r="M113" i="50" s="1"/>
  <c r="M115" i="50" s="1"/>
  <c r="M77" i="50" s="1"/>
  <c r="M118" i="50"/>
  <c r="M119" i="50"/>
  <c r="N84" i="50"/>
  <c r="N83" i="50"/>
  <c r="O54" i="4" s="1"/>
  <c r="O57" i="4" s="1"/>
  <c r="P15" i="4"/>
  <c r="M121" i="50" l="1"/>
  <c r="M78" i="50" s="1"/>
  <c r="O83" i="50"/>
  <c r="P54" i="4" s="1"/>
  <c r="P57" i="4" s="1"/>
  <c r="Q15" i="4"/>
  <c r="O84" i="50"/>
  <c r="M79" i="50"/>
  <c r="N33" i="4" s="1"/>
  <c r="N36" i="4" s="1"/>
  <c r="N59" i="4" s="1"/>
  <c r="F61" i="4"/>
  <c r="G60" i="4"/>
  <c r="H60" i="4" s="1"/>
  <c r="I60" i="4" s="1"/>
  <c r="J60" i="4" s="1"/>
  <c r="N112" i="50"/>
  <c r="N113" i="50" s="1"/>
  <c r="N115" i="50" s="1"/>
  <c r="N77" i="50" s="1"/>
  <c r="N118" i="50"/>
  <c r="N119" i="50"/>
  <c r="M33" i="4"/>
  <c r="K59" i="4"/>
  <c r="N121" i="50" l="1"/>
  <c r="N78" i="50" s="1"/>
  <c r="N79" i="50" s="1"/>
  <c r="O33" i="4" s="1"/>
  <c r="O36" i="4" s="1"/>
  <c r="O59" i="4" s="1"/>
  <c r="O112" i="50"/>
  <c r="O113" i="50" s="1"/>
  <c r="O115" i="50" s="1"/>
  <c r="O77" i="50" s="1"/>
  <c r="O118" i="50"/>
  <c r="O119" i="50"/>
  <c r="M36" i="4"/>
  <c r="K60" i="4"/>
  <c r="L60" i="4" s="1"/>
  <c r="R15" i="4"/>
  <c r="P84" i="50"/>
  <c r="P83" i="50"/>
  <c r="Q54" i="4" s="1"/>
  <c r="Q57" i="4" s="1"/>
  <c r="G61" i="4"/>
  <c r="H61" i="4" s="1"/>
  <c r="I61" i="4" s="1"/>
  <c r="J61" i="4" s="1"/>
  <c r="K61" i="4" s="1"/>
  <c r="L61" i="4" s="1"/>
  <c r="M61" i="4" s="1"/>
  <c r="N61" i="4" s="1"/>
  <c r="O61" i="4" s="1"/>
  <c r="P61" i="4" s="1"/>
  <c r="Q61" i="4" s="1"/>
  <c r="R61" i="4" s="1"/>
  <c r="S61" i="4" s="1"/>
  <c r="T61" i="4" s="1"/>
  <c r="U61" i="4" s="1"/>
  <c r="V61" i="4" s="1"/>
  <c r="W61" i="4" s="1"/>
  <c r="X61" i="4" s="1"/>
  <c r="Y61" i="4" s="1"/>
  <c r="Z61" i="4" s="1"/>
  <c r="AA61" i="4" s="1"/>
  <c r="AB61" i="4" s="1"/>
  <c r="AC61" i="4" s="1"/>
  <c r="AD61" i="4" s="1"/>
  <c r="O121" i="50" l="1"/>
  <c r="O78" i="50" s="1"/>
  <c r="O79" i="50" s="1"/>
  <c r="P33" i="4" s="1"/>
  <c r="M59" i="4"/>
  <c r="P119" i="50"/>
  <c r="P112" i="50"/>
  <c r="P113" i="50" s="1"/>
  <c r="P115" i="50" s="1"/>
  <c r="P77" i="50" s="1"/>
  <c r="P118" i="50"/>
  <c r="E61" i="4"/>
  <c r="E74" i="4" s="1"/>
  <c r="D20" i="44" s="1"/>
  <c r="S15" i="4"/>
  <c r="Q84" i="50"/>
  <c r="Q83" i="50"/>
  <c r="R54" i="4" s="1"/>
  <c r="R57" i="4" s="1"/>
  <c r="Q112" i="50" l="1"/>
  <c r="Q113" i="50" s="1"/>
  <c r="Q115" i="50" s="1"/>
  <c r="Q77" i="50" s="1"/>
  <c r="Q118" i="50"/>
  <c r="Q119" i="50"/>
  <c r="R84" i="50"/>
  <c r="R83" i="50"/>
  <c r="S54" i="4" s="1"/>
  <c r="S57" i="4" s="1"/>
  <c r="T15" i="4"/>
  <c r="P36" i="4"/>
  <c r="P121" i="50"/>
  <c r="P78" i="50" s="1"/>
  <c r="P79" i="50" s="1"/>
  <c r="Q33" i="4" s="1"/>
  <c r="Q36" i="4" s="1"/>
  <c r="Q59" i="4" s="1"/>
  <c r="M60" i="4"/>
  <c r="N60" i="4" s="1"/>
  <c r="O60" i="4" s="1"/>
  <c r="R112" i="50" l="1"/>
  <c r="R113" i="50" s="1"/>
  <c r="R115" i="50" s="1"/>
  <c r="R77" i="50" s="1"/>
  <c r="R118" i="50"/>
  <c r="R119" i="50"/>
  <c r="P59" i="4"/>
  <c r="P60" i="4" s="1"/>
  <c r="Q60" i="4" s="1"/>
  <c r="S83" i="50"/>
  <c r="T54" i="4" s="1"/>
  <c r="T57" i="4" s="1"/>
  <c r="U15" i="4"/>
  <c r="S84" i="50"/>
  <c r="Q121" i="50"/>
  <c r="Q78" i="50" s="1"/>
  <c r="Q79" i="50"/>
  <c r="R33" i="4" s="1"/>
  <c r="R36" i="4" s="1"/>
  <c r="R59" i="4" s="1"/>
  <c r="R60" i="4" l="1"/>
  <c r="R121" i="50"/>
  <c r="R78" i="50" s="1"/>
  <c r="S112" i="50"/>
  <c r="S113" i="50" s="1"/>
  <c r="S115" i="50" s="1"/>
  <c r="S77" i="50" s="1"/>
  <c r="S118" i="50"/>
  <c r="S119" i="50"/>
  <c r="V15" i="4"/>
  <c r="T84" i="50"/>
  <c r="T83" i="50"/>
  <c r="U54" i="4" s="1"/>
  <c r="U57" i="4" s="1"/>
  <c r="R79" i="50"/>
  <c r="S33" i="4" s="1"/>
  <c r="S36" i="4" s="1"/>
  <c r="S59" i="4" s="1"/>
  <c r="S121" i="50" l="1"/>
  <c r="S78" i="50" s="1"/>
  <c r="T119" i="50"/>
  <c r="T112" i="50"/>
  <c r="T113" i="50" s="1"/>
  <c r="T115" i="50" s="1"/>
  <c r="T77" i="50" s="1"/>
  <c r="T118" i="50"/>
  <c r="T121" i="50" s="1"/>
  <c r="T78" i="50" s="1"/>
  <c r="S79" i="50"/>
  <c r="T33" i="4" s="1"/>
  <c r="T36" i="4" s="1"/>
  <c r="T59" i="4" s="1"/>
  <c r="W15" i="4"/>
  <c r="U84" i="50"/>
  <c r="U83" i="50"/>
  <c r="V54" i="4" s="1"/>
  <c r="V57" i="4" s="1"/>
  <c r="S60" i="4"/>
  <c r="T79" i="50" l="1"/>
  <c r="U33" i="4" s="1"/>
  <c r="U36" i="4" s="1"/>
  <c r="U59" i="4" s="1"/>
  <c r="T60" i="4"/>
  <c r="V84" i="50"/>
  <c r="V83" i="50"/>
  <c r="W54" i="4" s="1"/>
  <c r="W57" i="4" s="1"/>
  <c r="X15" i="4"/>
  <c r="U112" i="50"/>
  <c r="U113" i="50" s="1"/>
  <c r="U115" i="50" s="1"/>
  <c r="U77" i="50" s="1"/>
  <c r="U118" i="50"/>
  <c r="U119" i="50"/>
  <c r="U60" i="4" l="1"/>
  <c r="U121" i="50"/>
  <c r="U78" i="50" s="1"/>
  <c r="U79" i="50" s="1"/>
  <c r="V33" i="4" s="1"/>
  <c r="V36" i="4" s="1"/>
  <c r="V59" i="4" s="1"/>
  <c r="V60" i="4" s="1"/>
  <c r="W84" i="50"/>
  <c r="W83" i="50"/>
  <c r="X54" i="4" s="1"/>
  <c r="X57" i="4" s="1"/>
  <c r="Y15" i="4"/>
  <c r="V112" i="50"/>
  <c r="V113" i="50" s="1"/>
  <c r="V115" i="50" s="1"/>
  <c r="V77" i="50" s="1"/>
  <c r="V118" i="50"/>
  <c r="V119" i="50"/>
  <c r="X83" i="50" l="1"/>
  <c r="Y54" i="4" s="1"/>
  <c r="Y57" i="4" s="1"/>
  <c r="Z15" i="4"/>
  <c r="X84" i="50"/>
  <c r="V121" i="50"/>
  <c r="V78" i="50" s="1"/>
  <c r="W112" i="50"/>
  <c r="W113" i="50" s="1"/>
  <c r="W115" i="50" s="1"/>
  <c r="W77" i="50" s="1"/>
  <c r="W118" i="50"/>
  <c r="W119" i="50"/>
  <c r="V79" i="50"/>
  <c r="W33" i="4" s="1"/>
  <c r="W36" i="4" s="1"/>
  <c r="W59" i="4" s="1"/>
  <c r="W60" i="4" s="1"/>
  <c r="W121" i="50" l="1"/>
  <c r="W78" i="50" s="1"/>
  <c r="W79" i="50" s="1"/>
  <c r="X33" i="4" s="1"/>
  <c r="X36" i="4" s="1"/>
  <c r="X59" i="4" s="1"/>
  <c r="X60" i="4" s="1"/>
  <c r="X112" i="50"/>
  <c r="X113" i="50" s="1"/>
  <c r="X115" i="50" s="1"/>
  <c r="X77" i="50" s="1"/>
  <c r="X118" i="50"/>
  <c r="X119" i="50"/>
  <c r="AA15" i="4"/>
  <c r="Y84" i="50"/>
  <c r="Y83" i="50"/>
  <c r="Z54" i="4" s="1"/>
  <c r="Z57" i="4" s="1"/>
  <c r="X121" i="50" l="1"/>
  <c r="X78" i="50" s="1"/>
  <c r="X79" i="50" s="1"/>
  <c r="Y33" i="4" s="1"/>
  <c r="Y36" i="4" s="1"/>
  <c r="Y59" i="4" s="1"/>
  <c r="Y60" i="4" s="1"/>
  <c r="Y119" i="50"/>
  <c r="Y112" i="50"/>
  <c r="Y113" i="50" s="1"/>
  <c r="Y115" i="50" s="1"/>
  <c r="Y77" i="50" s="1"/>
  <c r="Y118" i="50"/>
  <c r="AB15" i="4"/>
  <c r="Z84" i="50"/>
  <c r="Z83" i="50"/>
  <c r="AA54" i="4" s="1"/>
  <c r="AA57" i="4" s="1"/>
  <c r="Y121" i="50" l="1"/>
  <c r="Y78" i="50" s="1"/>
  <c r="Y79" i="50" s="1"/>
  <c r="Z33" i="4" s="1"/>
  <c r="Z36" i="4" s="1"/>
  <c r="Z59" i="4" s="1"/>
  <c r="Z60" i="4" s="1"/>
  <c r="AA84" i="50"/>
  <c r="AA83" i="50"/>
  <c r="AB54" i="4" s="1"/>
  <c r="AB57" i="4" s="1"/>
  <c r="AC15" i="4"/>
  <c r="Z112" i="50"/>
  <c r="Z113" i="50" s="1"/>
  <c r="Z115" i="50" s="1"/>
  <c r="Z77" i="50" s="1"/>
  <c r="Z118" i="50"/>
  <c r="Z119" i="50"/>
  <c r="AB83" i="50" l="1"/>
  <c r="AC54" i="4" s="1"/>
  <c r="AC57" i="4" s="1"/>
  <c r="AD15" i="4"/>
  <c r="AB84" i="50"/>
  <c r="Z121" i="50"/>
  <c r="Z78" i="50" s="1"/>
  <c r="Z79" i="50" s="1"/>
  <c r="AA33" i="4" s="1"/>
  <c r="AA36" i="4" s="1"/>
  <c r="AA59" i="4" s="1"/>
  <c r="AA60" i="4" s="1"/>
  <c r="AA112" i="50"/>
  <c r="AA113" i="50" s="1"/>
  <c r="AA115" i="50" s="1"/>
  <c r="AA77" i="50" s="1"/>
  <c r="AA118" i="50"/>
  <c r="AA119" i="50"/>
  <c r="AA121" i="50" l="1"/>
  <c r="AA78" i="50" s="1"/>
  <c r="AA79" i="50" s="1"/>
  <c r="AB33" i="4" s="1"/>
  <c r="AB36" i="4" s="1"/>
  <c r="AB59" i="4" s="1"/>
  <c r="AB60" i="4" s="1"/>
  <c r="AC84" i="50"/>
  <c r="AC83" i="50"/>
  <c r="AD54" i="4" s="1"/>
  <c r="AD57" i="4" s="1"/>
  <c r="AB112" i="50"/>
  <c r="AB113" i="50" s="1"/>
  <c r="AB115" i="50" s="1"/>
  <c r="AB77" i="50" s="1"/>
  <c r="AB118" i="50"/>
  <c r="AB119" i="50"/>
  <c r="E68" i="4" l="1"/>
  <c r="D15" i="44" s="1"/>
  <c r="AE57" i="4"/>
  <c r="AC119" i="50"/>
  <c r="AC112" i="50"/>
  <c r="AC113" i="50" s="1"/>
  <c r="AC115" i="50" s="1"/>
  <c r="AC77" i="50" s="1"/>
  <c r="AC118" i="50"/>
  <c r="AB121" i="50"/>
  <c r="AB78" i="50" s="1"/>
  <c r="AB79" i="50" s="1"/>
  <c r="AC33" i="4" s="1"/>
  <c r="AC36" i="4" s="1"/>
  <c r="AC59" i="4" s="1"/>
  <c r="AC60" i="4" s="1"/>
  <c r="AC121" i="50" l="1"/>
  <c r="AC78" i="50" s="1"/>
  <c r="AD78" i="50" s="1"/>
  <c r="F68" i="4"/>
  <c r="D31" i="50"/>
  <c r="D78" i="50"/>
  <c r="AC79" i="50"/>
  <c r="AD77" i="50"/>
  <c r="D30" i="50" l="1"/>
  <c r="D77" i="50"/>
  <c r="AD33" i="4"/>
  <c r="AD79" i="50"/>
  <c r="D79" i="50" s="1"/>
  <c r="E31" i="50"/>
  <c r="G31" i="50"/>
  <c r="AD36" i="4" l="1"/>
  <c r="AE33" i="4"/>
  <c r="G30" i="50"/>
  <c r="E30" i="50"/>
  <c r="E32" i="50" s="1"/>
  <c r="D32" i="50"/>
  <c r="G32" i="50" s="1"/>
  <c r="AD59" i="4" l="1"/>
  <c r="E67" i="4"/>
  <c r="AE36" i="4"/>
  <c r="D14" i="44" l="1"/>
  <c r="F67" i="4"/>
  <c r="E69" i="4"/>
  <c r="D16" i="44" s="1"/>
  <c r="E71" i="4"/>
  <c r="C9" i="44" s="1"/>
  <c r="H15" i="33" s="1"/>
  <c r="E70" i="4"/>
  <c r="AE59" i="4"/>
  <c r="E72" i="4"/>
  <c r="H16" i="33" s="1"/>
  <c r="AD60" i="4"/>
  <c r="F69" i="4" l="1"/>
  <c r="E73" i="4"/>
  <c r="F70" i="4"/>
  <c r="D17" i="44"/>
  <c r="H14" i="33" s="1"/>
  <c r="H17" i="33" l="1"/>
  <c r="D18" i="44"/>
</calcChain>
</file>

<file path=xl/comments1.xml><?xml version="1.0" encoding="utf-8"?>
<comments xmlns="http://schemas.openxmlformats.org/spreadsheetml/2006/main">
  <authors>
    <author>Emily McGavisk</author>
    <author>NREL</author>
  </authors>
  <commentList>
    <comment ref="G10" authorId="0">
      <text>
        <r>
          <rPr>
            <b/>
            <sz val="9"/>
            <color indexed="81"/>
            <rFont val="Tahoma"/>
            <family val="2"/>
          </rPr>
          <t>Author:</t>
        </r>
        <r>
          <rPr>
            <sz val="9"/>
            <color indexed="81"/>
            <rFont val="Tahoma"/>
            <family val="2"/>
          </rPr>
          <t xml:space="preserve">
This provides an snapshot of  key output metrics.</t>
        </r>
      </text>
    </comment>
    <comment ref="E11" authorId="0">
      <text>
        <r>
          <rPr>
            <b/>
            <sz val="9"/>
            <color indexed="81"/>
            <rFont val="Tahoma"/>
            <family val="2"/>
          </rPr>
          <t>Author:</t>
        </r>
        <r>
          <rPr>
            <sz val="9"/>
            <color indexed="81"/>
            <rFont val="Tahoma"/>
            <family val="2"/>
          </rPr>
          <t xml:space="preserve">
Select a subscription model: panel leasing or panel purchasing.
Panel purchasing refers to customers paying an upfront fee for all of the future generation from a panel and receiving bill credits for the electricity generated. 
In a panel lease scenario, customers pay an ongoing fee for all of the future generation from a panel and receive bill credits for the electricity generated. Due to the fact that panel generation decreases over time (derate), the quantity generated and bill credit also decline.</t>
        </r>
      </text>
    </comment>
    <comment ref="H11" authorId="0">
      <text>
        <r>
          <rPr>
            <b/>
            <sz val="9"/>
            <color indexed="81"/>
            <rFont val="Tahoma"/>
            <family val="2"/>
          </rPr>
          <t>Author:</t>
        </r>
        <r>
          <rPr>
            <sz val="9"/>
            <color indexed="81"/>
            <rFont val="Tahoma"/>
            <family val="2"/>
          </rPr>
          <t xml:space="preserve">
This value is the panel price that a system owner charges to recover costs.</t>
        </r>
      </text>
    </comment>
    <comment ref="E12" authorId="0">
      <text>
        <r>
          <rPr>
            <b/>
            <sz val="9"/>
            <color indexed="81"/>
            <rFont val="Tahoma"/>
            <family val="2"/>
          </rPr>
          <t>Author:</t>
        </r>
        <r>
          <rPr>
            <sz val="9"/>
            <color indexed="81"/>
            <rFont val="Tahoma"/>
            <family val="2"/>
          </rPr>
          <t xml:space="preserve">
In this model,  key output metrics are determined by the subscriber's panel purchase or lease price. Panel prices vary regionally.
</t>
        </r>
      </text>
    </comment>
    <comment ref="H12" authorId="0">
      <text>
        <r>
          <rPr>
            <b/>
            <sz val="9"/>
            <color indexed="81"/>
            <rFont val="Tahoma"/>
            <family val="2"/>
          </rPr>
          <t>Author:</t>
        </r>
        <r>
          <rPr>
            <sz val="9"/>
            <color indexed="81"/>
            <rFont val="Tahoma"/>
            <family val="2"/>
          </rPr>
          <t xml:space="preserve">
This value is the panel lease price that a system owner charges to recover costs.</t>
        </r>
      </text>
    </comment>
    <comment ref="E13" authorId="0">
      <text>
        <r>
          <rPr>
            <b/>
            <sz val="9"/>
            <color indexed="81"/>
            <rFont val="Tahoma"/>
            <family val="2"/>
          </rPr>
          <t>Author:</t>
        </r>
        <r>
          <rPr>
            <sz val="9"/>
            <color indexed="81"/>
            <rFont val="Tahoma"/>
            <family val="2"/>
          </rPr>
          <t xml:space="preserve">
In this model,  key output metrics are determined by the subscriber's panel purchase or lease price. Panel prices vary regionally.
</t>
        </r>
      </text>
    </comment>
    <comment ref="H13" authorId="0">
      <text>
        <r>
          <rPr>
            <b/>
            <sz val="9"/>
            <color indexed="81"/>
            <rFont val="Tahoma"/>
            <family val="2"/>
          </rPr>
          <t>Author:</t>
        </r>
        <r>
          <rPr>
            <sz val="9"/>
            <color indexed="81"/>
            <rFont val="Tahoma"/>
            <family val="2"/>
          </rPr>
          <t xml:space="preserve">
This value is the 25-year value of the net costs and benefits, discounted over the life of the project, to a subscriber that participated by purchasing a panel.</t>
        </r>
      </text>
    </comment>
    <comment ref="H14" authorId="0">
      <text>
        <r>
          <rPr>
            <b/>
            <sz val="9"/>
            <color indexed="81"/>
            <rFont val="Tahoma"/>
            <family val="2"/>
          </rPr>
          <t>Author:</t>
        </r>
        <r>
          <rPr>
            <sz val="9"/>
            <color indexed="81"/>
            <rFont val="Tahoma"/>
            <family val="2"/>
          </rPr>
          <t xml:space="preserve">
This value is the 25-year value of the net costs and benefits, discounted over the life of the project, to the system owner.</t>
        </r>
      </text>
    </comment>
    <comment ref="C15" authorId="0">
      <text>
        <r>
          <rPr>
            <b/>
            <sz val="9"/>
            <color indexed="81"/>
            <rFont val="Tahoma"/>
            <family val="2"/>
          </rPr>
          <t xml:space="preserve">Author:
</t>
        </r>
        <r>
          <rPr>
            <sz val="9"/>
            <color indexed="81"/>
            <rFont val="Tahoma"/>
            <family val="2"/>
          </rPr>
          <t>These values refer to physical and electrical specifications of the PV system.</t>
        </r>
      </text>
    </comment>
    <comment ref="H15" authorId="0">
      <text>
        <r>
          <rPr>
            <b/>
            <sz val="9"/>
            <color indexed="81"/>
            <rFont val="Tahoma"/>
            <family val="2"/>
          </rPr>
          <t>Author:</t>
        </r>
        <r>
          <rPr>
            <sz val="9"/>
            <color indexed="81"/>
            <rFont val="Tahoma"/>
            <family val="2"/>
          </rPr>
          <t xml:space="preserve">
The modified internal rate of return (MIRR) is a financial measure of an investment's attractiveness. It is used in capital budgeting to rank alternative investments of equal size. As the name implies, MIRR is a modification of the internal rate of return (IRR) and as such aims to resolve some problems with the IRR.</t>
        </r>
      </text>
    </comment>
    <comment ref="E16" authorId="0">
      <text>
        <r>
          <rPr>
            <b/>
            <sz val="9"/>
            <color indexed="81"/>
            <rFont val="Tahoma"/>
            <family val="2"/>
          </rPr>
          <t>Author:</t>
        </r>
        <r>
          <rPr>
            <sz val="9"/>
            <color indexed="81"/>
            <rFont val="Tahoma"/>
            <family val="2"/>
          </rPr>
          <t xml:space="preserve">
Enter the city in which the solar array is located</t>
        </r>
      </text>
    </comment>
    <comment ref="H16" authorId="0">
      <text>
        <r>
          <rPr>
            <b/>
            <sz val="9"/>
            <color indexed="81"/>
            <rFont val="Tahoma"/>
            <family val="2"/>
          </rPr>
          <t>Author:</t>
        </r>
        <r>
          <rPr>
            <sz val="9"/>
            <color indexed="81"/>
            <rFont val="Tahoma"/>
            <family val="2"/>
          </rPr>
          <t xml:space="preserve">
The modified internal rate of return (MIRR) is a financial measure of an investment's attractiveness. It is used in capital budgeting to rank alternative investments of equal size. As the name implies, MIRR is a modification of the internal rate of return (IRR) and as such aims to resolve some problems with the IRR.</t>
        </r>
      </text>
    </comment>
    <comment ref="E17" authorId="0">
      <text>
        <r>
          <rPr>
            <b/>
            <sz val="9"/>
            <color indexed="81"/>
            <rFont val="Tahoma"/>
            <family val="2"/>
          </rPr>
          <t>Author:</t>
        </r>
        <r>
          <rPr>
            <sz val="9"/>
            <color indexed="81"/>
            <rFont val="Tahoma"/>
            <family val="2"/>
          </rPr>
          <t xml:space="preserve">
Enter the state in which the solar array is located</t>
        </r>
      </text>
    </comment>
    <comment ref="H17" authorId="0">
      <text>
        <r>
          <rPr>
            <b/>
            <sz val="9"/>
            <color indexed="81"/>
            <rFont val="Tahoma"/>
            <family val="2"/>
          </rPr>
          <t>Author:</t>
        </r>
        <r>
          <rPr>
            <sz val="9"/>
            <color indexed="81"/>
            <rFont val="Tahoma"/>
            <family val="2"/>
          </rPr>
          <t xml:space="preserve">
ROI is a performance measure used to evaluate the efficiency of an investment. ROI measures the amount of return on an investment relative to the investment’s cost. To calculate ROI, the benefit (or return) of an investment is divided by the cost of the investment, and the result is expressed as a percentage or a ratio.</t>
        </r>
      </text>
    </comment>
    <comment ref="E18" authorId="0">
      <text>
        <r>
          <rPr>
            <b/>
            <sz val="9"/>
            <color indexed="81"/>
            <rFont val="Tahoma"/>
            <family val="2"/>
          </rPr>
          <t xml:space="preserve">Author:
</t>
        </r>
        <r>
          <rPr>
            <sz val="9"/>
            <color indexed="81"/>
            <rFont val="Tahoma"/>
            <family val="2"/>
          </rPr>
          <t>Enter the solar PV system size in kW-DC. This is the proposed system size for the community solar system.</t>
        </r>
      </text>
    </comment>
    <comment ref="E19" authorId="0">
      <text>
        <r>
          <rPr>
            <b/>
            <sz val="9"/>
            <color indexed="81"/>
            <rFont val="Tahoma"/>
            <family val="2"/>
          </rPr>
          <t xml:space="preserve">Author:
</t>
        </r>
        <r>
          <rPr>
            <sz val="9"/>
            <color indexed="81"/>
            <rFont val="Tahoma"/>
            <family val="2"/>
          </rPr>
          <t xml:space="preserve">Enter value for average panel size in the system.
</t>
        </r>
      </text>
    </comment>
    <comment ref="E20" authorId="0">
      <text>
        <r>
          <rPr>
            <b/>
            <sz val="9"/>
            <color indexed="81"/>
            <rFont val="Tahoma"/>
            <family val="2"/>
          </rPr>
          <t>Author:</t>
        </r>
        <r>
          <rPr>
            <sz val="9"/>
            <color indexed="81"/>
            <rFont val="Tahoma"/>
            <family val="2"/>
          </rPr>
          <t xml:space="preserve">
Select an installation type: options include rooftop, canopy, and ground-mounted. Ground-mount systems are fixed to the ground typically require less supporting infrastructure than other installation types. Canopy systems refer to systems that are elevated on stilts or other supporting material; these are mostly commonly seen as carports. Rooftop systems refer to systems that are built on existing roof structures. These may require additional racking costs to support the weight of the system.
Source:http://www.seia.org/research-resources/us-solar-market-insight
Source:http://www.greentechmedia.com/research/report/us-solar-carport-market-2014-2018</t>
        </r>
      </text>
    </comment>
    <comment ref="E21" authorId="0">
      <text>
        <r>
          <rPr>
            <b/>
            <sz val="9"/>
            <color indexed="81"/>
            <rFont val="Tahoma"/>
            <family val="2"/>
          </rPr>
          <t>Author:</t>
        </r>
        <r>
          <rPr>
            <sz val="9"/>
            <color indexed="81"/>
            <rFont val="Tahoma"/>
            <family val="2"/>
          </rPr>
          <t xml:space="preserve">
Individuals and businesses can reduce the amount of taxes owed by using tax credits. For a tax credit to have any value, the individual or business must actually owe taxes. If they are taxexempt or merely lacking sufficient income to need tax relief, the tax credits have no value. Individuals or businesses that can use tax credits to reduce the amount they owe in taxes are said to have a “tax appetite.” For example, public and non-profit organizations are tax-exempt and therefore do not have a tax appetite. In addition, tax-paying entities might be eligible to use tax-based incentives, but have insufficient tax appetite to make full use of them.
Source:http://www.nrel.gov/docs/fy11osti/49930.pdf</t>
        </r>
      </text>
    </comment>
    <comment ref="E22" authorId="0">
      <text>
        <r>
          <rPr>
            <b/>
            <sz val="9"/>
            <color indexed="81"/>
            <rFont val="Tahoma"/>
            <family val="2"/>
          </rPr>
          <t>Author:</t>
        </r>
        <r>
          <rPr>
            <sz val="9"/>
            <color indexed="81"/>
            <rFont val="Tahoma"/>
            <family val="2"/>
          </rPr>
          <t xml:space="preserve">
Enter the number of panels the average subscriber will buy or lease during the program (not including the anchor subscriber). In return for an upfront or monthly payment, the subscriber will receive the production from his or her share of the system. 
Source: 
NREL: Community Solar Scenario Tool: 
ttp://www.nrel.gov/tech_deployment/docs/csst_beta_v4.xlsm uses 10 panels per subscriber on average.
SEPA: Community Solar Program Design Models:
http://www.sepapower.org/media/422096/community-solar-design-plan_web.pdf uses 1.5 kW average
7.5 panels approximates the average between these.</t>
        </r>
      </text>
    </comment>
    <comment ref="E23" authorId="0">
      <text>
        <r>
          <rPr>
            <b/>
            <sz val="9"/>
            <color indexed="81"/>
            <rFont val="Tahoma"/>
            <family val="2"/>
          </rPr>
          <t>Author:</t>
        </r>
        <r>
          <rPr>
            <sz val="9"/>
            <color indexed="81"/>
            <rFont val="Tahoma"/>
            <family val="2"/>
          </rPr>
          <t xml:space="preserve">
Enter the number of years it will take for the system to reach the maximum subscription in the cell above. The model assumes that subscriptions will increase uniformly between years until the maximum is reached. 
Source:
SEPA: Community Solar Program Design Models:
http://www.sepapower.org/media/422096/community-solar-design-plan_web.pdf uses 1.5 kW average
Study shows that for community solar projects that acheive 100% subscription, they reach full subscription in an average of six months. However, the average subsciption period can be longer or not at all. 3 years approximates an average.
The longer to full subscription impacts cash flow and NPV, but the cost can be less expensive because efficiencies are gained after year one.</t>
        </r>
      </text>
    </comment>
    <comment ref="C29" authorId="0">
      <text>
        <r>
          <rPr>
            <b/>
            <sz val="9"/>
            <color indexed="81"/>
            <rFont val="Tahoma"/>
            <family val="2"/>
          </rPr>
          <t xml:space="preserve">Author:
</t>
        </r>
        <r>
          <rPr>
            <sz val="9"/>
            <color indexed="81"/>
            <rFont val="Tahoma"/>
            <family val="2"/>
          </rPr>
          <t>These values refer to physical and electrical specifications of the PV system.</t>
        </r>
      </text>
    </comment>
    <comment ref="G29" authorId="0">
      <text>
        <r>
          <rPr>
            <b/>
            <sz val="9"/>
            <color indexed="81"/>
            <rFont val="Tahoma"/>
            <family val="2"/>
          </rPr>
          <t>Author:</t>
        </r>
        <r>
          <rPr>
            <sz val="9"/>
            <color indexed="81"/>
            <rFont val="Tahoma"/>
            <family val="2"/>
          </rPr>
          <t xml:space="preserve">
These values refer to costs associated with designing and installing the community solar array.</t>
        </r>
      </text>
    </comment>
    <comment ref="E30" authorId="0">
      <text>
        <r>
          <rPr>
            <b/>
            <sz val="9"/>
            <color indexed="81"/>
            <rFont val="Tahoma"/>
            <family val="2"/>
          </rPr>
          <t>Author:</t>
        </r>
        <r>
          <rPr>
            <sz val="9"/>
            <color indexed="81"/>
            <rFont val="Tahoma"/>
            <family val="2"/>
          </rPr>
          <t xml:space="preserve">
Calculated from PVWatts outputs, the capacity factor is the ratio of the system's predicted electrical output in the first year of operation to the nameplate output, which is equivalent to the quantity of energy the system would generate if it operated at its nameplate capacity for every hour of the year. For PV systems, the capacity factor is an AC-to-DC value. In this model, updating the capacity factor does not influence the  system's generation output; NREL's PVWatts estimates that a system in Cook County, IL, will have a capacity factor of 0.149.
Source: https://www.nrel.gov/analysis/sam/help/html-php/index.html?mt_capacity_factor.htm
Source: http://pvwatts.nrel.gov/</t>
        </r>
      </text>
    </comment>
    <comment ref="J30" authorId="0">
      <text>
        <r>
          <rPr>
            <b/>
            <sz val="9"/>
            <color indexed="81"/>
            <rFont val="Tahoma"/>
            <family val="2"/>
          </rPr>
          <t>Author:</t>
        </r>
        <r>
          <rPr>
            <sz val="9"/>
            <color indexed="81"/>
            <rFont val="Tahoma"/>
            <family val="2"/>
          </rPr>
          <t xml:space="preserve">
Enter cost of PV modules. PV modules refer to a packaged, connected assembly of solar cells. Costs typically range from $0.60 - 0.70 per watt. If no value is selected, $0.68/W will be used as a default.
Source: http://www.nrel.gov/docs/fy16osti/66532.pdf</t>
        </r>
      </text>
    </comment>
    <comment ref="E31" authorId="1">
      <text>
        <r>
          <rPr>
            <b/>
            <sz val="9"/>
            <color indexed="81"/>
            <rFont val="Tahoma"/>
            <family val="2"/>
          </rPr>
          <t>Author:</t>
        </r>
        <r>
          <rPr>
            <sz val="9"/>
            <color indexed="81"/>
            <rFont val="Tahoma"/>
            <family val="2"/>
          </rPr>
          <t xml:space="preserve">
The total system losses applied to the system output</t>
        </r>
      </text>
    </comment>
    <comment ref="J31" authorId="0">
      <text>
        <r>
          <rPr>
            <b/>
            <sz val="9"/>
            <color indexed="81"/>
            <rFont val="Tahoma"/>
            <family val="2"/>
          </rPr>
          <t xml:space="preserve">Author: </t>
        </r>
        <r>
          <rPr>
            <sz val="9"/>
            <color indexed="81"/>
            <rFont val="Tahoma"/>
            <family val="2"/>
          </rPr>
          <t xml:space="preserve">
Enter cost of inverters. Inverters convert direct current (AC) to alternating current (AC). Costs typically range from $0.12 - 0.13 per watt. If no value is selected, $0.13/W will be used as a default.
Source: http://www.nrel.gov/docs/fy16osti/66532.pdf</t>
        </r>
      </text>
    </comment>
    <comment ref="E32" authorId="0">
      <text>
        <r>
          <rPr>
            <b/>
            <sz val="9"/>
            <color indexed="81"/>
            <rFont val="Tahoma"/>
            <family val="2"/>
          </rPr>
          <t>Author:</t>
        </r>
        <r>
          <rPr>
            <sz val="9"/>
            <color indexed="81"/>
            <rFont val="Tahoma"/>
            <family val="2"/>
          </rPr>
          <t xml:space="preserve">
The inverter efficiency used for PVWatts.  
Source: http://rredc.nrel.gov/solar/calculators/pvwatts/system.html
Source: http://www.nrel.gov/tech_deployment/docs/csst_beta_v4.xlsm</t>
        </r>
      </text>
    </comment>
    <comment ref="J32" authorId="0">
      <text>
        <r>
          <rPr>
            <b/>
            <sz val="9"/>
            <color indexed="81"/>
            <rFont val="Tahoma"/>
            <family val="2"/>
          </rPr>
          <t>Author:</t>
        </r>
        <r>
          <rPr>
            <sz val="9"/>
            <color indexed="81"/>
            <rFont val="Tahoma"/>
            <family val="2"/>
          </rPr>
          <t xml:space="preserve"> 
Enter racking costs. Racking refers to mounting equipment that is used to fix solar panels onto various surfaces. Costs typically range from $0.14 - 0.30 per watt. Canopy systems are expected to increase racking costs by $0.75 per watt. If no value is selected, $0.21/W will be used as a default for groundmount and rooftop systems, and $0.96/W will be used for canopy systems.
Source: http://www.nrel.gov/docs/fy16osti/66532.pdf
Source:http://www.seia.org/research-resources/us-solar-market-insight
Source:http://www.greentechmedia.com/research/report/us-solar-carport-market-2014-2018</t>
        </r>
      </text>
    </comment>
    <comment ref="E33" authorId="0">
      <text>
        <r>
          <rPr>
            <b/>
            <sz val="9"/>
            <color indexed="81"/>
            <rFont val="Tahoma"/>
            <family val="2"/>
          </rPr>
          <t xml:space="preserve">Author: </t>
        </r>
        <r>
          <rPr>
            <sz val="9"/>
            <color indexed="81"/>
            <rFont val="Tahoma"/>
            <family val="2"/>
          </rPr>
          <t xml:space="preserve">
Annual power production refers to the amount of electricity generated per system kW over the course of one year. In this model, the Annual Power Production is pulled from cells D17 - D29 of this tab, which estimates monthly production.
Source: http://pvwatts.nrel.gov/ </t>
        </r>
      </text>
    </comment>
    <comment ref="J33" authorId="0">
      <text>
        <r>
          <rPr>
            <b/>
            <sz val="9"/>
            <color indexed="81"/>
            <rFont val="Tahoma"/>
            <family val="2"/>
          </rPr>
          <t>Author:</t>
        </r>
        <r>
          <rPr>
            <sz val="9"/>
            <color indexed="81"/>
            <rFont val="Tahoma"/>
            <family val="2"/>
          </rPr>
          <t xml:space="preserve"> 
Enter balance of system costs. Balance ofsystem encompasses all other system components,  including conductors, conduits and fittings, transition boxes, switch gear, and panel boards. Costs typically average $0.18 per watt.  If no value is selected, $0.18/W will be used as a default.
Source:http://www.nrel.gov/docs/fy15osti/64746.pdf</t>
        </r>
      </text>
    </comment>
    <comment ref="E34" authorId="0">
      <text>
        <r>
          <rPr>
            <b/>
            <sz val="9"/>
            <color indexed="81"/>
            <rFont val="Tahoma"/>
            <family val="2"/>
          </rPr>
          <t xml:space="preserve">Author:
</t>
        </r>
        <r>
          <rPr>
            <sz val="9"/>
            <color indexed="81"/>
            <rFont val="Tahoma"/>
            <family val="2"/>
          </rPr>
          <t>Enter a value for annual panel degradation. For example, see NREL's 2002 study, Degradation Analysis of Weathered Crystalline-Silicon
PV Modules, which estimates between a 0.05% and 1.0% degradation per year. Unless other validated information is available, use the default value of 0.5% per year.
Source: http://www.nrel.gov/tech_deployment/docs/csst_beta_v4.xlsm
Source: https://financere.nrel.gov/finance/files/NREL_CREST_Solar_version1.4.xlsx
Source: http://www.nrel.gov/docs/fy02osti/31455.pdf</t>
        </r>
      </text>
    </comment>
    <comment ref="J34" authorId="0">
      <text>
        <r>
          <rPr>
            <b/>
            <sz val="9"/>
            <color indexed="81"/>
            <rFont val="Tahoma"/>
            <family val="2"/>
          </rPr>
          <t>Author:</t>
        </r>
        <r>
          <rPr>
            <sz val="9"/>
            <color indexed="81"/>
            <rFont val="Tahoma"/>
            <family val="2"/>
          </rPr>
          <t xml:space="preserve">
Enter engineering and design costs. This refers to the cost of an engineering firm to design the system. Costs typically average $0.06 per watt.  If no value is selected, $0.06/W will be used as a default.
Source:http://www.nrel.gov/docs/fy15osti/64746.pdf</t>
        </r>
      </text>
    </comment>
    <comment ref="E35" authorId="0">
      <text>
        <r>
          <rPr>
            <b/>
            <sz val="9"/>
            <color indexed="81"/>
            <rFont val="Tahoma"/>
            <family val="2"/>
          </rPr>
          <t xml:space="preserve">Author:
</t>
        </r>
        <r>
          <rPr>
            <sz val="9"/>
            <color indexed="81"/>
            <rFont val="Tahoma"/>
            <family val="2"/>
          </rPr>
          <t xml:space="preserve">This is a calculation that divides the system size by the panel size to determine the number of panels in the system.
</t>
        </r>
      </text>
    </comment>
    <comment ref="J35" authorId="0">
      <text>
        <r>
          <rPr>
            <b/>
            <sz val="9"/>
            <color indexed="81"/>
            <rFont val="Tahoma"/>
            <family val="2"/>
          </rPr>
          <t>Emily McGavisk:</t>
        </r>
        <r>
          <rPr>
            <sz val="9"/>
            <color indexed="81"/>
            <rFont val="Tahoma"/>
            <family val="2"/>
          </rPr>
          <t xml:space="preserve">
Enter permitting and interconnection costs. This includes permit fees and inspection costs, as well as interconnection, inspection, and commissioning. Costs typically average $0.09 per watt. If no value is entered, $0.09/W will be used as a default. 
Source:http://www.nrel.gov/docs/fy15osti/64746.pdf</t>
        </r>
      </text>
    </comment>
    <comment ref="J36" authorId="0">
      <text>
        <r>
          <rPr>
            <b/>
            <sz val="9"/>
            <color indexed="81"/>
            <rFont val="Tahoma"/>
            <family val="2"/>
          </rPr>
          <t>Author:</t>
        </r>
        <r>
          <rPr>
            <sz val="9"/>
            <color indexed="81"/>
            <rFont val="Tahoma"/>
            <family val="2"/>
          </rPr>
          <t xml:space="preserve"> 
Enter cost of installation labor here.  National costs typically average $0.19 per watt, however installation in Cook Count, IL is expected to be higher due to higher wage rates and low market penetration of community solar.  If no value is selected, $0.50W will be used as a default.
Source:http://www.nrel.gov/docs/fy15osti/64746.pdf</t>
        </r>
      </text>
    </comment>
    <comment ref="D37" authorId="0">
      <text>
        <r>
          <rPr>
            <b/>
            <sz val="9"/>
            <color indexed="81"/>
            <rFont val="Tahoma"/>
            <family val="2"/>
          </rPr>
          <t>Author:</t>
        </r>
        <r>
          <rPr>
            <sz val="9"/>
            <color indexed="81"/>
            <rFont val="Tahoma"/>
            <family val="2"/>
          </rPr>
          <t xml:space="preserve">
This refers to the rate at which subscribers are credited for participating in the community solar program.</t>
        </r>
      </text>
    </comment>
    <comment ref="E37" authorId="0">
      <text>
        <r>
          <rPr>
            <b/>
            <sz val="9"/>
            <color indexed="81"/>
            <rFont val="Tahoma"/>
            <family val="2"/>
          </rPr>
          <t>Author:</t>
        </r>
        <r>
          <rPr>
            <sz val="9"/>
            <color indexed="81"/>
            <rFont val="Tahoma"/>
            <family val="2"/>
          </rPr>
          <t xml:space="preserve">
These values refer to the bill crediting rate for C&amp;I customers. ComEd tarrif submitted to ICC in Aug 2017 allows Energy-only for 100 kW+ customers (average $0.035) and Energy+Capacity for &lt;100 kW customers (average $0.045). </t>
        </r>
      </text>
    </comment>
    <comment ref="J37" authorId="0">
      <text>
        <r>
          <rPr>
            <b/>
            <sz val="9"/>
            <color indexed="81"/>
            <rFont val="Tahoma"/>
            <family val="2"/>
          </rPr>
          <t>Author:</t>
        </r>
        <r>
          <rPr>
            <sz val="9"/>
            <color indexed="81"/>
            <rFont val="Tahoma"/>
            <family val="2"/>
          </rPr>
          <t xml:space="preserve"> 
Enter equipment rental and freight costs. This refers to the cost of renting equipment for system installation and shipping required materials. Costs typically average $0.03 per watt.  If no value is selected, $0.03/W will be used as a default.
Source:http://www.nrel.gov/docs/fy15osti/64746.pdf</t>
        </r>
      </text>
    </comment>
    <comment ref="J38" authorId="0">
      <text>
        <r>
          <rPr>
            <b/>
            <sz val="9"/>
            <color indexed="81"/>
            <rFont val="Tahoma"/>
            <family val="2"/>
          </rPr>
          <t>Author:</t>
        </r>
        <r>
          <rPr>
            <sz val="9"/>
            <color indexed="81"/>
            <rFont val="Tahoma"/>
            <family val="2"/>
          </rPr>
          <t xml:space="preserve">
Enter development overhead costs. Development overhead includes fixed overhead expenses such as payroll, facilities, travel, insurance, etc. across administrative, business development, finance, and other corporate functions.
 Costs typically average $0.41 per watt.  If no value is selected, $0.41/W will be used as a default.
Source:http://www.nrel.gov/docs/fy15osti/64746.pdf</t>
        </r>
      </text>
    </comment>
    <comment ref="G41" authorId="0">
      <text>
        <r>
          <rPr>
            <b/>
            <sz val="9"/>
            <color indexed="81"/>
            <rFont val="Tahoma"/>
            <family val="2"/>
          </rPr>
          <t>Emily McGavisk:</t>
        </r>
        <r>
          <rPr>
            <sz val="9"/>
            <color indexed="81"/>
            <rFont val="Tahoma"/>
            <family val="2"/>
          </rPr>
          <t xml:space="preserve">
These values refer to the cost of preparing the land to support the community solar installation.</t>
        </r>
      </text>
    </comment>
    <comment ref="J42" authorId="0">
      <text>
        <r>
          <rPr>
            <b/>
            <sz val="9"/>
            <color indexed="81"/>
            <rFont val="Tahoma"/>
            <family val="2"/>
          </rPr>
          <t>Author:</t>
        </r>
        <r>
          <rPr>
            <sz val="9"/>
            <color indexed="81"/>
            <rFont val="Tahoma"/>
            <family val="2"/>
          </rPr>
          <t xml:space="preserve">
If land is being purchased to support the community solar system, enter the pruchase price. Because community solar sites are typically leased instead of purchased, this value will default to $0 if no other value is entered.</t>
        </r>
      </text>
    </comment>
    <comment ref="J43" authorId="0">
      <text>
        <r>
          <rPr>
            <b/>
            <sz val="9"/>
            <color indexed="81"/>
            <rFont val="Tahoma"/>
            <family val="2"/>
          </rPr>
          <t>Author:</t>
        </r>
        <r>
          <rPr>
            <sz val="9"/>
            <color indexed="81"/>
            <rFont val="Tahoma"/>
            <family val="2"/>
          </rPr>
          <t xml:space="preserve">
Enter site preparation costs here. This refers to any site modifications (such as  leveling, sediment control, hydrology, road construction, and vegetation removal) that may need to be performed to prepare for a community solar installation. If no value is entered, a value of $0.06/W will be used as a default. 
Land preparation costs can range from $5,000 to $25,000 per acre. Assuming a 1 MW system on a 5-acre plot, this translates to $0.025/kW to $0.125/kW. 
Source: http://www.nrel.gov/docs/fy12osti/53347.pdf
</t>
        </r>
      </text>
    </comment>
    <comment ref="J44" authorId="0">
      <text>
        <r>
          <rPr>
            <b/>
            <sz val="9"/>
            <color indexed="81"/>
            <rFont val="Tahoma"/>
            <family val="2"/>
          </rPr>
          <t>Author:</t>
        </r>
        <r>
          <rPr>
            <sz val="9"/>
            <color indexed="81"/>
            <rFont val="Tahoma"/>
            <family val="2"/>
          </rPr>
          <t xml:space="preserve">
Enter annual site lease payments here. If no value is entered, a value of $7,500/year will be used as a default. 
A general rule of thumb in estimating land requirements for solar is 5 acres per MW. Land prices vary drastically be region; some studies report values of $300 - $700 per acre with other sources reporting $1,500 - $3,000 per acre. 
A default value of $7,500 will be used as a default if no value is entered (assumes 5 acres at $1,500/acre).
Source: http://www.nrel.gov/docs/fy12osti/53347.pdf
Source: http://www.bloomberg.com/news/articles/2016-03-29/harvesting-sunshine-more-lucrative-than-crops-at-some-u-s-farms
Source: http://www.lake-link.com/forums/general-discussion/solar-farms-land-lease-prices/123678/
</t>
        </r>
      </text>
    </comment>
    <comment ref="J45" authorId="0">
      <text>
        <r>
          <rPr>
            <b/>
            <sz val="9"/>
            <color indexed="81"/>
            <rFont val="Tahoma"/>
            <family val="2"/>
          </rPr>
          <t>Author:</t>
        </r>
        <r>
          <rPr>
            <sz val="9"/>
            <color indexed="81"/>
            <rFont val="Tahoma"/>
            <family val="2"/>
          </rPr>
          <t xml:space="preserve">
Enter the cost of removing the system after its useful life. Because costs are expected to be minimal and will heavily discounted over a 25-year life, costs will default to $0 unless another value is entered.  </t>
        </r>
      </text>
    </comment>
    <comment ref="G47" authorId="0">
      <text>
        <r>
          <rPr>
            <b/>
            <sz val="9"/>
            <color indexed="81"/>
            <rFont val="Tahoma"/>
            <family val="2"/>
          </rPr>
          <t xml:space="preserve">Author:
</t>
        </r>
        <r>
          <rPr>
            <sz val="9"/>
            <color indexed="81"/>
            <rFont val="Tahoma"/>
            <family val="2"/>
          </rPr>
          <t>These values refer to costs required to maintain the solar array over time.</t>
        </r>
        <r>
          <rPr>
            <sz val="9"/>
            <color indexed="81"/>
            <rFont val="Tahoma"/>
            <family val="2"/>
          </rPr>
          <t xml:space="preserve">
</t>
        </r>
      </text>
    </comment>
    <comment ref="J48" authorId="0">
      <text>
        <r>
          <rPr>
            <b/>
            <sz val="9"/>
            <color indexed="81"/>
            <rFont val="Tahoma"/>
            <family val="2"/>
          </rPr>
          <t>Author:</t>
        </r>
        <r>
          <rPr>
            <sz val="9"/>
            <color indexed="81"/>
            <rFont val="Tahoma"/>
            <family val="2"/>
          </rPr>
          <t xml:space="preserve">
Enter the expected operation and maintenance cost for the system. Costs typically range from $7 - $9/kW/year for commercial systems between 1 and 10 MW. If no value is added, a default value of $15/kW/year will be used.
Source: http://www.nrel.gov/analysis/tech_lcoe_re_cost_est.html</t>
        </r>
      </text>
    </comment>
    <comment ref="D50" authorId="0">
      <text>
        <r>
          <rPr>
            <b/>
            <sz val="9"/>
            <color indexed="81"/>
            <rFont val="Tahoma"/>
            <family val="2"/>
          </rPr>
          <t>Author:</t>
        </r>
        <r>
          <rPr>
            <sz val="9"/>
            <color indexed="81"/>
            <rFont val="Tahoma"/>
            <family val="2"/>
          </rPr>
          <t xml:space="preserve">
Average annual subscriber credit rate. </t>
        </r>
      </text>
    </comment>
    <comment ref="E50" authorId="0">
      <text>
        <r>
          <rPr>
            <b/>
            <sz val="9"/>
            <color indexed="81"/>
            <rFont val="Tahoma"/>
            <family val="2"/>
          </rPr>
          <t>Author:</t>
        </r>
        <r>
          <rPr>
            <sz val="9"/>
            <color indexed="81"/>
            <rFont val="Tahoma"/>
            <family val="2"/>
          </rPr>
          <t xml:space="preserve">
Average annual subscriber credit rate. </t>
        </r>
      </text>
    </comment>
    <comment ref="E53" authorId="0">
      <text>
        <r>
          <rPr>
            <b/>
            <sz val="9"/>
            <color indexed="81"/>
            <rFont val="Tahoma"/>
            <family val="2"/>
          </rPr>
          <t>Author:</t>
        </r>
        <r>
          <rPr>
            <sz val="9"/>
            <color indexed="81"/>
            <rFont val="Tahoma"/>
            <family val="2"/>
          </rPr>
          <t xml:space="preserve">
Enter the rate at which energy from the unsubscribed portion of the solar array will be sold. This energy can either be sold on the wholesale market, sold to the utility, or not credited. </t>
        </r>
      </text>
    </comment>
    <comment ref="C57" authorId="0">
      <text>
        <r>
          <rPr>
            <b/>
            <sz val="9"/>
            <color indexed="81"/>
            <rFont val="Tahoma"/>
            <family val="2"/>
          </rPr>
          <t>Author:</t>
        </r>
        <r>
          <rPr>
            <sz val="9"/>
            <color indexed="81"/>
            <rFont val="Tahoma"/>
            <family val="2"/>
          </rPr>
          <t xml:space="preserve">
These values refer to the structure of the community solar program.</t>
        </r>
      </text>
    </comment>
    <comment ref="G57" authorId="0">
      <text>
        <r>
          <rPr>
            <b/>
            <sz val="9"/>
            <color indexed="81"/>
            <rFont val="Tahoma"/>
            <family val="2"/>
          </rPr>
          <t>Author:</t>
        </r>
        <r>
          <rPr>
            <sz val="9"/>
            <color indexed="81"/>
            <rFont val="Tahoma"/>
            <family val="2"/>
          </rPr>
          <t xml:space="preserve">
These values refer to solar incentives that may be applicable for projects. </t>
        </r>
      </text>
    </comment>
    <comment ref="E58" authorId="0">
      <text>
        <r>
          <rPr>
            <b/>
            <sz val="9"/>
            <color indexed="81"/>
            <rFont val="Tahoma"/>
            <family val="2"/>
          </rPr>
          <t>Author:</t>
        </r>
        <r>
          <rPr>
            <sz val="9"/>
            <color indexed="81"/>
            <rFont val="Tahoma"/>
            <family val="2"/>
          </rPr>
          <t xml:space="preserve">
The system life is the number of years that the project is expected to be fully operational, reliably delivering electricity to the grid, and generating revenue. The typical system lifetime is 25 years.
Source: http://www.nrel.gov/tech_deployment/docs/csst_beta_v4.xlsm
</t>
        </r>
      </text>
    </comment>
    <comment ref="J58" authorId="0">
      <text>
        <r>
          <rPr>
            <b/>
            <sz val="9"/>
            <color indexed="81"/>
            <rFont val="Tahoma"/>
            <family val="2"/>
          </rPr>
          <t>Author:</t>
        </r>
        <r>
          <rPr>
            <sz val="9"/>
            <color indexed="81"/>
            <rFont val="Tahoma"/>
            <family val="2"/>
          </rPr>
          <t xml:space="preserve">
Enter a value for the ITC here. The ITC allows commercial, industrial, and utility owners of photovoltaic (PV) systems to take a one-time tax credit equivalent to 30% of qualified installed costs through 2019.
Source: http://www.seia.org/policy/finance-tax/solar-investment-tax-credit
Source: http://www.nrel.gov/docs/fy12osti/54570.pdf</t>
        </r>
      </text>
    </comment>
    <comment ref="E59" authorId="0">
      <text>
        <r>
          <rPr>
            <b/>
            <sz val="9"/>
            <color indexed="81"/>
            <rFont val="Tahoma"/>
            <family val="2"/>
          </rPr>
          <t>Author:</t>
        </r>
        <r>
          <rPr>
            <sz val="9"/>
            <color indexed="81"/>
            <rFont val="Tahoma"/>
            <family val="2"/>
          </rPr>
          <t xml:space="preserve">
Enter the percentage of the system subscribed by an anchor subscriber. An anchor subscriber is a subscriber who takes a large percentage of the garden.
Source: http://www.solargardens.org/frequently-asked-questions/</t>
        </r>
      </text>
    </comment>
    <comment ref="J59" authorId="0">
      <text>
        <r>
          <rPr>
            <b/>
            <sz val="9"/>
            <color indexed="81"/>
            <rFont val="Tahoma"/>
            <family val="2"/>
          </rPr>
          <t>Author:</t>
        </r>
        <r>
          <rPr>
            <sz val="9"/>
            <color indexed="81"/>
            <rFont val="Tahoma"/>
            <family val="2"/>
          </rPr>
          <t xml:space="preserve">
Enter any generation incentives. Information about incentives available near you can be found here: http://www.dsireusa.org/</t>
        </r>
      </text>
    </comment>
    <comment ref="E60" authorId="0">
      <text>
        <r>
          <rPr>
            <b/>
            <sz val="9"/>
            <color indexed="81"/>
            <rFont val="Tahoma"/>
            <family val="2"/>
          </rPr>
          <t>Author:</t>
        </r>
        <r>
          <rPr>
            <sz val="9"/>
            <color indexed="81"/>
            <rFont val="Tahoma"/>
            <family val="2"/>
          </rPr>
          <t xml:space="preserve">
Enter the expected annual subscriber turnover rate. Industry average is assumed to be between 1% and 2%. This assumes if 1.5% of total subscribers drop out of the program, 1.5% also join the program as new subscribers, with subsequent customer acquisition costs. </t>
        </r>
      </text>
    </comment>
    <comment ref="J60" authorId="0">
      <text>
        <r>
          <rPr>
            <b/>
            <sz val="9"/>
            <color indexed="81"/>
            <rFont val="Tahoma"/>
            <family val="2"/>
          </rPr>
          <t>Author:</t>
        </r>
        <r>
          <rPr>
            <sz val="9"/>
            <color indexed="81"/>
            <rFont val="Tahoma"/>
            <family val="2"/>
          </rPr>
          <t xml:space="preserve">
Enter any capacity incentives. Under the Future Energy Jobs Act, developers of community solar projects in IL are elligible to receive a $250/kW rebate. 
Source: http://www.ilga.gov/legislation/99/SB/PDF/09900SB2814enr.pdf</t>
        </r>
      </text>
    </comment>
    <comment ref="E61" authorId="0">
      <text>
        <r>
          <rPr>
            <b/>
            <sz val="9"/>
            <color indexed="81"/>
            <rFont val="Tahoma"/>
            <family val="2"/>
          </rPr>
          <t xml:space="preserve">Author:
</t>
        </r>
        <r>
          <rPr>
            <sz val="9"/>
            <color indexed="81"/>
            <rFont val="Tahoma"/>
            <family val="2"/>
          </rPr>
          <t>Enter an escalator for panel lease price/power subscription price. A price escalator helps developers maintain alignment with panel rising electricity prices. If 0% is selected, panel lease or power subscription prices will remain constant over the life of the project.</t>
        </r>
      </text>
    </comment>
    <comment ref="J61" authorId="0">
      <text>
        <r>
          <rPr>
            <b/>
            <sz val="9"/>
            <color indexed="81"/>
            <rFont val="Tahoma"/>
            <family val="2"/>
          </rPr>
          <t>Author:</t>
        </r>
        <r>
          <rPr>
            <sz val="9"/>
            <color indexed="81"/>
            <rFont val="Tahoma"/>
            <family val="2"/>
          </rPr>
          <t xml:space="preserve">
Enter any lump sum renewables incentives. Information about incentives available near you can be found here: http://www.dsireusa.org/</t>
        </r>
      </text>
    </comment>
    <comment ref="J62" authorId="0">
      <text>
        <r>
          <rPr>
            <b/>
            <sz val="9"/>
            <color indexed="81"/>
            <rFont val="Tahoma"/>
            <family val="2"/>
          </rPr>
          <t>Author:</t>
        </r>
        <r>
          <rPr>
            <sz val="9"/>
            <color indexed="81"/>
            <rFont val="Tahoma"/>
            <family val="2"/>
          </rPr>
          <t xml:space="preserve">
Enter any subsidies that are paid direcetly to the subscriber. This may be used to model subsidies for low income customers.</t>
        </r>
      </text>
    </comment>
    <comment ref="C63" authorId="0">
      <text>
        <r>
          <rPr>
            <b/>
            <sz val="9"/>
            <color indexed="81"/>
            <rFont val="Tahoma"/>
            <family val="2"/>
          </rPr>
          <t>Author:</t>
        </r>
        <r>
          <rPr>
            <sz val="9"/>
            <color indexed="81"/>
            <rFont val="Tahoma"/>
            <family val="2"/>
          </rPr>
          <t xml:space="preserve">
These values refer to financial assumptions that impact the model. </t>
        </r>
      </text>
    </comment>
    <comment ref="J63" authorId="0">
      <text>
        <r>
          <rPr>
            <b/>
            <sz val="9"/>
            <color indexed="81"/>
            <rFont val="Tahoma"/>
            <family val="2"/>
          </rPr>
          <t>Author:</t>
        </r>
        <r>
          <rPr>
            <sz val="9"/>
            <color indexed="81"/>
            <rFont val="Tahoma"/>
            <family val="2"/>
          </rPr>
          <t xml:space="preserve">
Enter State Renewable Energy Credit (SREC) values  here. SRECs are tradable environmental commodities, which each represent 1000 kilowatt-hours (kWh) of solar energy generated by an eligible solar renewable energy system. SRECs can be bought, sold, or traded on the open market. The Future Energy Jobs Act creates the Adjustable Block Program for IL. The REC prices that will be offered are currently unknown. Default values are from the Cook County Solar Market Pathways Value Proposition Analysis. 
Source:  Cook County SMP Task 5.1  Community Solar Value Proposition Report</t>
        </r>
      </text>
    </comment>
    <comment ref="E64" authorId="0">
      <text>
        <r>
          <rPr>
            <b/>
            <sz val="9"/>
            <color indexed="81"/>
            <rFont val="Tahoma"/>
            <family val="2"/>
          </rPr>
          <t>Author:</t>
        </r>
        <r>
          <rPr>
            <sz val="9"/>
            <color indexed="81"/>
            <rFont val="Tahoma"/>
            <family val="2"/>
          </rPr>
          <t xml:space="preserve">
Enter an estimate for retail electric rate escalation. If no value is available, an escalation rate can be calculated using historical data from the EIA website: http://www.eia.gove/electricity/data.cfm#sales.
Source: http://www.nrel.gov/tech_deployment/docs/csst_beta_v4.xlsm</t>
        </r>
      </text>
    </comment>
    <comment ref="J64" authorId="0">
      <text>
        <r>
          <rPr>
            <b/>
            <sz val="9"/>
            <color indexed="81"/>
            <rFont val="Tahoma"/>
            <family val="2"/>
          </rPr>
          <t>Author:</t>
        </r>
        <r>
          <rPr>
            <sz val="9"/>
            <color indexed="81"/>
            <rFont val="Tahoma"/>
            <family val="2"/>
          </rPr>
          <t xml:space="preserve">
Enter timeframe over which SRECs are calculated here. Under the Future Energy Jobs Act, SRECs will be calculated for 15 years of assumed generation.
Source: http://www.ilga.gov/legislation/99/SB/PDF/09900SB2814enr.pdf</t>
        </r>
      </text>
    </comment>
    <comment ref="E65" authorId="0">
      <text>
        <r>
          <rPr>
            <b/>
            <sz val="9"/>
            <color indexed="81"/>
            <rFont val="Tahoma"/>
            <family val="2"/>
          </rPr>
          <t>Author:</t>
        </r>
        <r>
          <rPr>
            <sz val="9"/>
            <color indexed="81"/>
            <rFont val="Tahoma"/>
            <family val="2"/>
          </rPr>
          <t xml:space="preserve">
Enter the rate at which cash flows will be discounted annually for the subscriber to achieve a single Net Present Value. Subscribers are expected to be more sensitive to the time-value of money than a developer. If no value is entered a default value of 10% will be used.
 Source: http://www.nrel.gov/tech_deployment/docs/csst_beta_v4.xlsm</t>
        </r>
      </text>
    </comment>
    <comment ref="J65" authorId="0">
      <text>
        <r>
          <rPr>
            <b/>
            <sz val="9"/>
            <color indexed="81"/>
            <rFont val="Tahoma"/>
            <family val="2"/>
          </rPr>
          <t>Author:</t>
        </r>
        <r>
          <rPr>
            <sz val="9"/>
            <color indexed="81"/>
            <rFont val="Tahoma"/>
            <family val="2"/>
          </rPr>
          <t xml:space="preserve">
Enter timeframe over which SRECs are paid here. Under the Future Energy Jobs Act, SRECs will be paid to the system owner over 5 years.  
Source: http://www.ilga.gov/legislation/99/SB/PDF/09900SB2814enr.pdf</t>
        </r>
      </text>
    </comment>
    <comment ref="E66" authorId="0">
      <text>
        <r>
          <rPr>
            <b/>
            <sz val="9"/>
            <color indexed="81"/>
            <rFont val="Tahoma"/>
            <family val="2"/>
          </rPr>
          <t xml:space="preserve">Author:
</t>
        </r>
        <r>
          <rPr>
            <sz val="9"/>
            <color indexed="81"/>
            <rFont val="Tahoma"/>
            <family val="2"/>
          </rPr>
          <t>Enter the rate at which cash flows will be discounted annually for the system owner to achieve a single Net Present Value. Developers are expected to be less sensitive to the time-value of money than a subscriber. If no value is entered a default value of 8% will be used.
 Source: http://www.nrel.gov/tech_deployment/docs/csst_beta_v4.xlsm</t>
        </r>
      </text>
    </comment>
    <comment ref="J66" authorId="0">
      <text>
        <r>
          <rPr>
            <b/>
            <sz val="9"/>
            <color indexed="81"/>
            <rFont val="Tahoma"/>
            <family val="2"/>
          </rPr>
          <t>Author:</t>
        </r>
        <r>
          <rPr>
            <sz val="9"/>
            <color indexed="81"/>
            <rFont val="Tahoma"/>
            <family val="2"/>
          </rPr>
          <t xml:space="preserve">
Enter the percent of qualified costs eligible for the Modified Accelerated Cost Recovery System depreciation. In addition to grants and tax credits, federal tax policy allows businesses to depreciate their investments in solar projects on an accelerated basis. For projects taking the ITC, the depreciable basis must be reduced by half the value of the ITC.
Source: http://www.nrel.gov/docs/fy12osti/54570.pdf</t>
        </r>
      </text>
    </comment>
    <comment ref="J67" authorId="0">
      <text>
        <r>
          <rPr>
            <b/>
            <sz val="9"/>
            <color indexed="81"/>
            <rFont val="Tahoma"/>
            <family val="2"/>
          </rPr>
          <t>Author:</t>
        </r>
        <r>
          <rPr>
            <sz val="9"/>
            <color indexed="81"/>
            <rFont val="Tahoma"/>
            <family val="2"/>
          </rPr>
          <t xml:space="preserve">
Enter the salvage value of the system as a percent of the initial cost after its useful life. Because costs are expected to be minimal and will heavily discounted over a 25-year life, costs will default to $0 unless another value is entered. </t>
        </r>
      </text>
    </comment>
    <comment ref="C71" authorId="0">
      <text>
        <r>
          <rPr>
            <b/>
            <sz val="9"/>
            <color indexed="81"/>
            <rFont val="Tahoma"/>
            <family val="2"/>
          </rPr>
          <t>Author:</t>
        </r>
        <r>
          <rPr>
            <sz val="9"/>
            <color indexed="81"/>
            <rFont val="Tahoma"/>
            <family val="2"/>
          </rPr>
          <t xml:space="preserve">
These values refer to financial assumptions that impact the model. </t>
        </r>
      </text>
    </comment>
    <comment ref="G71" authorId="0">
      <text>
        <r>
          <rPr>
            <b/>
            <sz val="9"/>
            <color indexed="81"/>
            <rFont val="Tahoma"/>
            <family val="2"/>
          </rPr>
          <t>Author:</t>
        </r>
        <r>
          <rPr>
            <sz val="9"/>
            <color indexed="81"/>
            <rFont val="Tahoma"/>
            <family val="2"/>
          </rPr>
          <t xml:space="preserve">
Industry data for administrative and transactional costs for community solar is not available. The Cook County Community Solar project worked with regional stakeholders, the Solar Market Pathways community, the National Community Solar Partnership and the National Renewable Energy Laboratory to develop a range of costs consistent with industry experience. 
  • Average total administrative and transactional costs are equivalent to a range of $.25 to $.50 per watt. 
  • A labor rate of $65 was used as to indicate a low- to mid-level salary range averaged between a commercial solar and nonprofit fully burdened rate.
•   Various components include outreach, sales, transaction, customer service and billing tasks. Each can be increased, decreased or removed based on the needs of the program.
</t>
        </r>
      </text>
    </comment>
    <comment ref="J72" authorId="0">
      <text>
        <r>
          <rPr>
            <b/>
            <sz val="9"/>
            <color indexed="81"/>
            <rFont val="Tahoma"/>
            <family val="2"/>
          </rPr>
          <t>Author:</t>
        </r>
        <r>
          <rPr>
            <sz val="9"/>
            <color indexed="81"/>
            <rFont val="Tahoma"/>
            <family val="2"/>
          </rPr>
          <t xml:space="preserve">
Select the relative difficulty for subscriber acquisition. Additional details regarding subscirber acquisition inputs can be found in the "Admin_&amp;_Transaction_Costs" tab. Any values in blue can be overridden. </t>
        </r>
      </text>
    </comment>
    <comment ref="D73" authorId="0">
      <text>
        <r>
          <rPr>
            <b/>
            <sz val="9"/>
            <color indexed="81"/>
            <rFont val="Tahoma"/>
            <family val="2"/>
          </rPr>
          <t>Author:</t>
        </r>
        <r>
          <rPr>
            <sz val="9"/>
            <color indexed="81"/>
            <rFont val="Tahoma"/>
            <family val="2"/>
          </rPr>
          <t xml:space="preserve">
Enter the percent of upfront system costs (PV system costs, construction costs, and land costs) that will be financed.</t>
        </r>
      </text>
    </comment>
    <comment ref="E73" authorId="0">
      <text>
        <r>
          <rPr>
            <b/>
            <sz val="9"/>
            <color indexed="81"/>
            <rFont val="Tahoma"/>
            <family val="2"/>
          </rPr>
          <t>Author:</t>
        </r>
        <r>
          <rPr>
            <sz val="9"/>
            <color indexed="81"/>
            <rFont val="Tahoma"/>
            <family val="2"/>
          </rPr>
          <t xml:space="preserve">
Enter the percent of upfront system costs (PV system costs, construction costs, and land costs) that will be financed.</t>
        </r>
      </text>
    </comment>
    <comment ref="J73" authorId="0">
      <text>
        <r>
          <rPr>
            <b/>
            <sz val="9"/>
            <color indexed="81"/>
            <rFont val="Tahoma"/>
            <family val="2"/>
          </rPr>
          <t>Author:</t>
        </r>
        <r>
          <rPr>
            <sz val="9"/>
            <color indexed="81"/>
            <rFont val="Tahoma"/>
            <family val="2"/>
          </rPr>
          <t xml:space="preserve">
Enter the labor rate per hour for customer acquisition activities, including overhead.</t>
        </r>
      </text>
    </comment>
    <comment ref="D74" authorId="0">
      <text>
        <r>
          <rPr>
            <b/>
            <sz val="9"/>
            <color indexed="81"/>
            <rFont val="Tahoma"/>
            <family val="2"/>
          </rPr>
          <t>Author:</t>
        </r>
        <r>
          <rPr>
            <sz val="9"/>
            <color indexed="81"/>
            <rFont val="Tahoma"/>
            <family val="2"/>
          </rPr>
          <t xml:space="preserve">
Enter the interest rate at which project costs will be financed. </t>
        </r>
      </text>
    </comment>
    <comment ref="E74" authorId="0">
      <text>
        <r>
          <rPr>
            <b/>
            <sz val="9"/>
            <color indexed="81"/>
            <rFont val="Tahoma"/>
            <family val="2"/>
          </rPr>
          <t>Author:</t>
        </r>
        <r>
          <rPr>
            <sz val="9"/>
            <color indexed="81"/>
            <rFont val="Tahoma"/>
            <family val="2"/>
          </rPr>
          <t xml:space="preserve">
Enter the interest rate at which project costs will be financed. </t>
        </r>
      </text>
    </comment>
    <comment ref="J74" authorId="0">
      <text>
        <r>
          <rPr>
            <b/>
            <sz val="9"/>
            <color indexed="81"/>
            <rFont val="Tahoma"/>
            <family val="2"/>
          </rPr>
          <t>Author:</t>
        </r>
        <r>
          <rPr>
            <sz val="9"/>
            <color indexed="81"/>
            <rFont val="Tahoma"/>
            <family val="2"/>
          </rPr>
          <t xml:space="preserve">
Enter the annual labor rate escalactor for acquisition-related activities </t>
        </r>
      </text>
    </comment>
    <comment ref="D75" authorId="0">
      <text>
        <r>
          <rPr>
            <b/>
            <sz val="9"/>
            <color indexed="81"/>
            <rFont val="Tahoma"/>
            <family val="2"/>
          </rPr>
          <t>Author:</t>
        </r>
        <r>
          <rPr>
            <sz val="9"/>
            <color indexed="81"/>
            <rFont val="Tahoma"/>
            <family val="2"/>
          </rPr>
          <t xml:space="preserve">
Enter the loan term amount.</t>
        </r>
      </text>
    </comment>
    <comment ref="E75" authorId="0">
      <text>
        <r>
          <rPr>
            <b/>
            <sz val="9"/>
            <color indexed="81"/>
            <rFont val="Tahoma"/>
            <family val="2"/>
          </rPr>
          <t>Author:</t>
        </r>
        <r>
          <rPr>
            <sz val="9"/>
            <color indexed="81"/>
            <rFont val="Tahoma"/>
            <family val="2"/>
          </rPr>
          <t xml:space="preserve">
Enter the loan term amount.</t>
        </r>
      </text>
    </comment>
    <comment ref="J75" authorId="0">
      <text>
        <r>
          <rPr>
            <b/>
            <sz val="9"/>
            <color indexed="81"/>
            <rFont val="Tahoma"/>
            <family val="2"/>
          </rPr>
          <t xml:space="preserve">Author:
</t>
        </r>
        <r>
          <rPr>
            <sz val="9"/>
            <color indexed="81"/>
            <rFont val="Tahoma"/>
            <family val="2"/>
          </rPr>
          <t xml:space="preserve">Enter the upfront billing software costs, if applicable 
</t>
        </r>
      </text>
    </comment>
    <comment ref="J76" authorId="0">
      <text>
        <r>
          <rPr>
            <b/>
            <sz val="9"/>
            <color indexed="81"/>
            <rFont val="Tahoma"/>
            <family val="2"/>
          </rPr>
          <t>Author:</t>
        </r>
        <r>
          <rPr>
            <sz val="9"/>
            <color indexed="81"/>
            <rFont val="Tahoma"/>
            <family val="2"/>
          </rPr>
          <t xml:space="preserve">
Enter the ongoing billing software licensing costs, if applicable </t>
        </r>
      </text>
    </comment>
  </commentList>
</comments>
</file>

<file path=xl/sharedStrings.xml><?xml version="1.0" encoding="utf-8"?>
<sst xmlns="http://schemas.openxmlformats.org/spreadsheetml/2006/main" count="806" uniqueCount="352">
  <si>
    <t>$</t>
  </si>
  <si>
    <t>% of qualified costs</t>
  </si>
  <si>
    <t>$/kWh</t>
  </si>
  <si>
    <t>Production Benefits</t>
  </si>
  <si>
    <t>years</t>
  </si>
  <si>
    <t>%</t>
  </si>
  <si>
    <t>% of system cost</t>
  </si>
  <si>
    <t>Total System Capital Costs (gross)</t>
  </si>
  <si>
    <t>Net Benefits (Costs)</t>
  </si>
  <si>
    <t>Cumulative Cashflow</t>
  </si>
  <si>
    <t>Up-front Net Costs</t>
  </si>
  <si>
    <t>Year 1 Net Benefits</t>
  </si>
  <si>
    <t>25 year costs</t>
  </si>
  <si>
    <t>25 year benefits</t>
  </si>
  <si>
    <t>25 year net benefits</t>
  </si>
  <si>
    <t>25 year NPV</t>
  </si>
  <si>
    <t>$/SREC (MWh)</t>
  </si>
  <si>
    <t>Totals</t>
  </si>
  <si>
    <t>Payback Period</t>
  </si>
  <si>
    <t>Total System Production Benefits</t>
  </si>
  <si>
    <t xml:space="preserve">    Salvage value</t>
  </si>
  <si>
    <t>$/W</t>
  </si>
  <si>
    <t>Return on Investment (ROI)</t>
  </si>
  <si>
    <t>Internal Rate of Return (IRR)</t>
  </si>
  <si>
    <t>Project Year:</t>
  </si>
  <si>
    <t>Calendar Year:</t>
  </si>
  <si>
    <t>Operating Expenditures</t>
  </si>
  <si>
    <t>Total Operating Costs</t>
  </si>
  <si>
    <t xml:space="preserve">   Participant Bill Credits</t>
  </si>
  <si>
    <t>Incentive Payments</t>
  </si>
  <si>
    <t>Total Incentive Payments</t>
  </si>
  <si>
    <t xml:space="preserve">    Participant Payment (Buy/Lease)</t>
  </si>
  <si>
    <t>Participant Expenditures</t>
  </si>
  <si>
    <t>Total Costs</t>
  </si>
  <si>
    <t>System Size - DC (Gross kW):</t>
  </si>
  <si>
    <t>25 year revenues</t>
  </si>
  <si>
    <t xml:space="preserve">    SRECs</t>
  </si>
  <si>
    <t>$/Watt</t>
  </si>
  <si>
    <t>State/Local Generation Incentives</t>
  </si>
  <si>
    <t xml:space="preserve">   Operations &amp; Maintenance</t>
  </si>
  <si>
    <t>$/year</t>
  </si>
  <si>
    <t xml:space="preserve">   Cost of Land (upfront and/or lease)</t>
  </si>
  <si>
    <t>$/kW/year</t>
  </si>
  <si>
    <t xml:space="preserve">    Equipment and Labor</t>
  </si>
  <si>
    <t>Panel Size (W):</t>
  </si>
  <si>
    <t>Number of Panels:</t>
  </si>
  <si>
    <t>January</t>
  </si>
  <si>
    <t>February</t>
  </si>
  <si>
    <t>March</t>
  </si>
  <si>
    <t>April</t>
  </si>
  <si>
    <t>May</t>
  </si>
  <si>
    <t>June</t>
  </si>
  <si>
    <t>July</t>
  </si>
  <si>
    <t>August</t>
  </si>
  <si>
    <t>September</t>
  </si>
  <si>
    <t>October</t>
  </si>
  <si>
    <t>November</t>
  </si>
  <si>
    <t>December</t>
  </si>
  <si>
    <t>Month</t>
  </si>
  <si>
    <t>Rate ($/kWh)</t>
  </si>
  <si>
    <t>Generation (kWh)</t>
  </si>
  <si>
    <t>Annual</t>
  </si>
  <si>
    <t>Community Shared Solar System</t>
  </si>
  <si>
    <t>Payback Calculation</t>
  </si>
  <si>
    <t>Community Solar System Financials - System Owner</t>
  </si>
  <si>
    <t>Subscriber Payments</t>
  </si>
  <si>
    <t>Generation Estimate</t>
  </si>
  <si>
    <t>System Capital</t>
  </si>
  <si>
    <t>Total Subscriber Payments</t>
  </si>
  <si>
    <t>New Subscribers</t>
  </si>
  <si>
    <t>Dropped Subscribers</t>
  </si>
  <si>
    <t>Calendar Year</t>
  </si>
  <si>
    <t>Project Year</t>
  </si>
  <si>
    <t>Panels per Subscriber:</t>
  </si>
  <si>
    <t>Construction Costs</t>
  </si>
  <si>
    <t>Input Unit</t>
  </si>
  <si>
    <t>Input Value</t>
  </si>
  <si>
    <t>Site Costs</t>
  </si>
  <si>
    <t>O&amp;M Costs</t>
  </si>
  <si>
    <t>Total Installed Cost of PV System (Ground Mount)</t>
  </si>
  <si>
    <t>System Owner</t>
  </si>
  <si>
    <t>System Owner IRR:</t>
  </si>
  <si>
    <t>Federal ITC Cash Equivalent</t>
  </si>
  <si>
    <t>Modified Internal Rate of Return (MIRR)</t>
  </si>
  <si>
    <t>Panel Purchase Price:</t>
  </si>
  <si>
    <t>Monthly Panel Lease Price:</t>
  </si>
  <si>
    <t>25-Year Net Benefits:</t>
  </si>
  <si>
    <t>25-Year Revenues:</t>
  </si>
  <si>
    <t>25-Year Costs:</t>
  </si>
  <si>
    <t>Return on Investment (ROI):</t>
  </si>
  <si>
    <t>Payback Period:</t>
  </si>
  <si>
    <t>Community Shared Solar Program</t>
  </si>
  <si>
    <t>Community Shared Solar Customer Acquisition Schedule</t>
  </si>
  <si>
    <t>Year</t>
  </si>
  <si>
    <t>Summary Output</t>
  </si>
  <si>
    <t>Key Performace Indicator</t>
  </si>
  <si>
    <t xml:space="preserve">Input/Output Summary </t>
  </si>
  <si>
    <t>25-Year Net Present Value (NPV):</t>
  </si>
  <si>
    <t>Incentive Assumptions</t>
  </si>
  <si>
    <t>Installation Type:</t>
  </si>
  <si>
    <t>System Life (years):</t>
  </si>
  <si>
    <t>Incentive</t>
  </si>
  <si>
    <t>Community Solar Program Assumptions</t>
  </si>
  <si>
    <t>Deverloper NPV Discount Rate:</t>
  </si>
  <si>
    <t>Ownership Entity:</t>
  </si>
  <si>
    <t>Years to Full Subscription:</t>
  </si>
  <si>
    <t>% of System Subscribed by Anchor Subscriber:</t>
  </si>
  <si>
    <t>Non Tax-Exempt Entity</t>
  </si>
  <si>
    <t>System Owner NPV:</t>
  </si>
  <si>
    <r>
      <t>Capacity Factor</t>
    </r>
    <r>
      <rPr>
        <sz val="11"/>
        <color theme="1"/>
        <rFont val="Calibri"/>
        <family val="2"/>
        <scheme val="minor"/>
      </rPr>
      <t>:</t>
    </r>
  </si>
  <si>
    <r>
      <t>Annual Derate (%)</t>
    </r>
    <r>
      <rPr>
        <sz val="11"/>
        <color theme="1"/>
        <rFont val="Calibri"/>
        <family val="2"/>
        <scheme val="minor"/>
      </rPr>
      <t>:</t>
    </r>
  </si>
  <si>
    <r>
      <t>Subscriber NPV Disount Rate</t>
    </r>
    <r>
      <rPr>
        <sz val="11"/>
        <color theme="1"/>
        <rFont val="Calibri"/>
        <family val="2"/>
        <scheme val="minor"/>
      </rPr>
      <t>:</t>
    </r>
  </si>
  <si>
    <t>Output Snapshot*</t>
  </si>
  <si>
    <t>*See Dashboard for full output analysis</t>
  </si>
  <si>
    <t>Percent of Costs Financed:</t>
  </si>
  <si>
    <t>Interest Rate:</t>
  </si>
  <si>
    <t>Annual Energy &amp; Demand Cost Increase:</t>
  </si>
  <si>
    <t>Financing Term (years):</t>
  </si>
  <si>
    <t>Project Financing</t>
  </si>
  <si>
    <t>Panel Price/Lease Escalator (%):</t>
  </si>
  <si>
    <t>Marketing &amp; Communications</t>
  </si>
  <si>
    <t>Customer Acquisition Setup</t>
  </si>
  <si>
    <t>Outreach Setup</t>
  </si>
  <si>
    <t>Admin Setup</t>
  </si>
  <si>
    <t>Outreach</t>
  </si>
  <si>
    <t>Sales</t>
  </si>
  <si>
    <t xml:space="preserve"> Photovoltaic System Cost Assumptions</t>
  </si>
  <si>
    <t xml:space="preserve"> Administrative and Transactional Cost Assumptions</t>
  </si>
  <si>
    <t>Subscriber Acquisition Difficulty:</t>
  </si>
  <si>
    <t>Subscriber Acquisition Assumptions</t>
  </si>
  <si>
    <t>Sign-up Transaction</t>
  </si>
  <si>
    <t>Customer Service</t>
  </si>
  <si>
    <t>Labor rate</t>
  </si>
  <si>
    <t>TOTAL UPFRONT COSTS</t>
  </si>
  <si>
    <t>Sign-up transaction</t>
  </si>
  <si>
    <t>Customer service</t>
  </si>
  <si>
    <t>Billing admin</t>
  </si>
  <si>
    <t>TOTAL ONGOING-TRANSACTIONAL COSTS</t>
  </si>
  <si>
    <t>UPFRONT COSTS</t>
  </si>
  <si>
    <t>TOTAL Cost</t>
  </si>
  <si>
    <t>Messaging</t>
  </si>
  <si>
    <t>Marketing Materials</t>
  </si>
  <si>
    <t>Website</t>
  </si>
  <si>
    <t>Customer Acquisition-Call Center Setup</t>
  </si>
  <si>
    <t>Email setup</t>
  </si>
  <si>
    <t>Templates and SOPs</t>
  </si>
  <si>
    <t>Live chat setup</t>
  </si>
  <si>
    <t>E-pay solution integration</t>
  </si>
  <si>
    <t>Phone #</t>
  </si>
  <si>
    <t>Training prep</t>
  </si>
  <si>
    <t>Training execution</t>
  </si>
  <si>
    <t>IVR Setup</t>
  </si>
  <si>
    <t>SOPs</t>
  </si>
  <si>
    <t>Admin</t>
  </si>
  <si>
    <t>Billing templates and setup</t>
  </si>
  <si>
    <t>TRANSACTIONAL COSTS</t>
  </si>
  <si>
    <t>TOTAL ONGOING COSTS</t>
  </si>
  <si>
    <t>Outreach hours per subscriber</t>
  </si>
  <si>
    <t>Outreach cost per subscriber</t>
  </si>
  <si>
    <t>Annual costs</t>
  </si>
  <si>
    <t>Sales hours per subscriber</t>
  </si>
  <si>
    <t>Sales cost per subscriber</t>
  </si>
  <si>
    <t>Sign-up hours per subscriber</t>
  </si>
  <si>
    <t>Sign-up cost per subscriber</t>
  </si>
  <si>
    <t>Hours per call</t>
  </si>
  <si>
    <t>Total call hours</t>
  </si>
  <si>
    <t>Billing Admin</t>
  </si>
  <si>
    <t>Billing setup hours per month</t>
  </si>
  <si>
    <t>Labor rate for Acquisition Activities:</t>
  </si>
  <si>
    <t>Labor Rate Escalator:</t>
  </si>
  <si>
    <t>$/Subscriber</t>
  </si>
  <si>
    <t>System Size:</t>
  </si>
  <si>
    <t>kW</t>
  </si>
  <si>
    <t>Full Subscription Rate (after Anchors)</t>
  </si>
  <si>
    <t>Labor Rate</t>
  </si>
  <si>
    <t>Labor Rate Escalator</t>
  </si>
  <si>
    <t>Subscriber Acquisition Difficulty</t>
  </si>
  <si>
    <t>Total ($)</t>
  </si>
  <si>
    <t>Labor Hours</t>
  </si>
  <si>
    <t>Labor Cost</t>
  </si>
  <si>
    <t>OOP Cost</t>
  </si>
  <si>
    <t>N/A</t>
  </si>
  <si>
    <t>Customer Acquisition</t>
  </si>
  <si>
    <t>TOTAL</t>
  </si>
  <si>
    <t>Subscriber Assumptions</t>
  </si>
  <si>
    <t>Annual Cumulative Subscription Rate</t>
  </si>
  <si>
    <t>Annual Subscriber Loss</t>
  </si>
  <si>
    <t>Annual Subscriber Gain</t>
  </si>
  <si>
    <t>Total # Subscribers (after Anchor)</t>
  </si>
  <si>
    <t>Total Cost ($)</t>
  </si>
  <si>
    <t>System Removal Costs</t>
  </si>
  <si>
    <t>Solar Project Financial Metrics</t>
  </si>
  <si>
    <t>Subscription Model:</t>
  </si>
  <si>
    <t>Subscriber</t>
  </si>
  <si>
    <t>Subscriber NPV:</t>
  </si>
  <si>
    <t>Critical System Inputs</t>
  </si>
  <si>
    <t>System Owner Financials</t>
  </si>
  <si>
    <t>Project Information</t>
  </si>
  <si>
    <t>Finanacing Assumptions</t>
  </si>
  <si>
    <t>Solar Project Financing Options</t>
  </si>
  <si>
    <t>Developer</t>
  </si>
  <si>
    <t>Loan Amount</t>
  </si>
  <si>
    <t>Annual Payments</t>
  </si>
  <si>
    <t>Financing Costs</t>
  </si>
  <si>
    <t xml:space="preserve">Monthly Payments </t>
  </si>
  <si>
    <t>Total Financing Costs</t>
  </si>
  <si>
    <t>Number of Subscribers at Full Subscription (after Anchors)</t>
  </si>
  <si>
    <t>Business Model:</t>
  </si>
  <si>
    <t>/kWh</t>
  </si>
  <si>
    <t>Year 1 Generation (kWh)</t>
  </si>
  <si>
    <t>This report was prepared as an account of work sponsored by an agency of the United States Government. Neither the United States Government nor any agency thereof, nor any of their employees, makes any warranty, express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United States Government or any agency thereof. The views and opinions of authors expressed herein do not necessarily state or reflect those of the United States Government or any agency thereof.</t>
  </si>
  <si>
    <t xml:space="preserve">$/year </t>
  </si>
  <si>
    <t xml:space="preserve">   Upfront Administriative and Billing Costs</t>
  </si>
  <si>
    <t>Ongoing Transactional and Billing Costs</t>
  </si>
  <si>
    <t>/hour</t>
  </si>
  <si>
    <t>Total monthly calls</t>
  </si>
  <si>
    <t>% of subscribers calling per month</t>
  </si>
  <si>
    <t>Easy</t>
  </si>
  <si>
    <t>CIS integration</t>
  </si>
  <si>
    <t>Media Buy</t>
  </si>
  <si>
    <t>Year 1 Bill Savings:</t>
  </si>
  <si>
    <t>Moderate</t>
  </si>
  <si>
    <t>Media Buy Rate / Subscriber</t>
  </si>
  <si>
    <t>Minutes</t>
  </si>
  <si>
    <t>% of hour</t>
  </si>
  <si>
    <t>Year 1</t>
  </si>
  <si>
    <t>Year 2</t>
  </si>
  <si>
    <t>Year 3</t>
  </si>
  <si>
    <t>Individual subscriber billing hours</t>
  </si>
  <si>
    <t>Difficult</t>
  </si>
  <si>
    <t>Hours</t>
  </si>
  <si>
    <t>Minutes for admin setup per Subscriber</t>
  </si>
  <si>
    <t>Minutes individual billing per Subscriber</t>
  </si>
  <si>
    <t>Efficiency of tasks over previous year</t>
  </si>
  <si>
    <t>NA</t>
  </si>
  <si>
    <t>Year 3+</t>
  </si>
  <si>
    <t>% of Total Subscribers requiring service monthly</t>
  </si>
  <si>
    <t>Sales time per Subcriber</t>
  </si>
  <si>
    <t>Transaction time per Subscriber</t>
  </si>
  <si>
    <t>Customer Service time per Subscriber</t>
  </si>
  <si>
    <t xml:space="preserve">Unsubscribed Electricity </t>
  </si>
  <si>
    <t>Credit Rate ($/kWh):</t>
  </si>
  <si>
    <t>Unsubscribed Energy Payments</t>
  </si>
  <si>
    <t>Media Buy Rate per Subscriber</t>
  </si>
  <si>
    <t>Contact developers with questions:</t>
  </si>
  <si>
    <t xml:space="preserve">Vito Greco, Elevate Energy: </t>
  </si>
  <si>
    <t>Vito.Greco@ElevateEnergy.org</t>
  </si>
  <si>
    <t xml:space="preserve">Emily McGavisk, West Monroe Partners: </t>
  </si>
  <si>
    <t>emcgavisk@westmonroepartners.com</t>
  </si>
  <si>
    <r>
      <rPr>
        <b/>
        <sz val="14"/>
        <color theme="1"/>
        <rFont val="Calibri"/>
        <family val="2"/>
        <scheme val="minor"/>
      </rPr>
      <t>Generation Rates:</t>
    </r>
    <r>
      <rPr>
        <sz val="14"/>
        <color theme="1"/>
        <rFont val="Calibri"/>
        <family val="2"/>
        <scheme val="minor"/>
      </rPr>
      <t xml:space="preserve">
The purpose of this tab is to show the production of the system over time, as well as the rates that will paid to the subscriber and system owner by the utility.</t>
    </r>
  </si>
  <si>
    <r>
      <rPr>
        <b/>
        <sz val="14"/>
        <rFont val="Calibri"/>
        <family val="2"/>
        <scheme val="minor"/>
      </rPr>
      <t>Dashboard - Developer and Subscriber Metrics:</t>
    </r>
    <r>
      <rPr>
        <sz val="14"/>
        <rFont val="Calibri"/>
        <family val="2"/>
        <scheme val="minor"/>
      </rPr>
      <t xml:space="preserve">
The purpose of this tab is to highlight the key financial ouputs for the subscribers and system owner.</t>
    </r>
  </si>
  <si>
    <t>Annual Power Production (kWh per kW):</t>
  </si>
  <si>
    <t xml:space="preserve">$/W </t>
  </si>
  <si>
    <r>
      <rPr>
        <b/>
        <sz val="14"/>
        <rFont val="Calibri"/>
        <family val="2"/>
        <scheme val="minor"/>
      </rPr>
      <t>Administrative and Transactional Costs:</t>
    </r>
    <r>
      <rPr>
        <sz val="14"/>
        <rFont val="Calibri"/>
        <family val="2"/>
        <scheme val="minor"/>
      </rPr>
      <t xml:space="preserve">
The purpose of this tab is to represent the administrative and transactional costs for the community solar program.  Cells in </t>
    </r>
    <r>
      <rPr>
        <sz val="14"/>
        <color rgb="FF0000FF"/>
        <rFont val="Calibri"/>
        <family val="2"/>
        <scheme val="minor"/>
      </rPr>
      <t>blue</t>
    </r>
    <r>
      <rPr>
        <sz val="14"/>
        <rFont val="Calibri"/>
        <family val="2"/>
        <scheme val="minor"/>
      </rPr>
      <t xml:space="preserve"> font may be overridden.</t>
    </r>
  </si>
  <si>
    <r>
      <rPr>
        <b/>
        <sz val="14"/>
        <color theme="1"/>
        <rFont val="Calibri"/>
        <family val="2"/>
        <scheme val="minor"/>
      </rPr>
      <t>Key Assumptions &amp; Inputs:</t>
    </r>
    <r>
      <rPr>
        <sz val="14"/>
        <color theme="1"/>
        <rFont val="Calibri"/>
        <family val="2"/>
        <scheme val="minor"/>
      </rPr>
      <t xml:space="preserve">
The purpose of this tab is for the user to enter inputs and assumptions related to the community solar project. Cells with </t>
    </r>
    <r>
      <rPr>
        <sz val="14"/>
        <color rgb="FF0000FF"/>
        <rFont val="Calibri"/>
        <family val="2"/>
        <scheme val="minor"/>
      </rPr>
      <t>blue</t>
    </r>
    <r>
      <rPr>
        <sz val="14"/>
        <color theme="1"/>
        <rFont val="Calibri"/>
        <family val="2"/>
        <scheme val="minor"/>
      </rPr>
      <t xml:space="preserve"> font may be modified, and </t>
    </r>
    <r>
      <rPr>
        <sz val="14"/>
        <color rgb="FFFF0000"/>
        <rFont val="Calibri"/>
        <family val="2"/>
        <scheme val="minor"/>
      </rPr>
      <t>red</t>
    </r>
    <r>
      <rPr>
        <sz val="14"/>
        <color theme="1"/>
        <rFont val="Calibri"/>
        <family val="2"/>
        <scheme val="minor"/>
      </rPr>
      <t xml:space="preserve"> cells represent drop downs that should be selected. Descriptions of inputs, value ranges and assumptions can been found for each input by hovering the cursor over default values.</t>
    </r>
  </si>
  <si>
    <t>Input Value (2016 USD)</t>
  </si>
  <si>
    <t>Assumptions (from Key_Assumptions_&amp;_Inputs Tab)</t>
  </si>
  <si>
    <t>Photovoltaic System Technical Assumptions</t>
  </si>
  <si>
    <t>This decision support tool (“Tool") was developed by the Cook County Community Solar project team ("Cook County"), lead by West Monroe Partners, LLC ("West Monroe") and Elevate Energy for the purpose of considering community solar initiatives from the perspective of a subscriber or system owner in Cook County. It is not intended, and should be used, as the basis for investment decision making.  The Tool is provided on an “as-is” basis and “with all faults”, and no representations or warranty of any kind, whether expressed or implied either in fact or by operation of law, statutory or otherwise, including without limitation warranties of merchantability, or fitness for a particular purpose is given by West Monroe, Cook County, Elevate Energy or any other person as to the accuracy of the Tool or any output therefrom.  Any user of the Tool agrees to assume full responsibility for use of the Tool and use of any output therefrom.</t>
  </si>
  <si>
    <t>Panel Leasing</t>
  </si>
  <si>
    <t>System Owner MIRR:</t>
  </si>
  <si>
    <t>System Owner ROI:</t>
  </si>
  <si>
    <t>Version History</t>
  </si>
  <si>
    <t>Annual Subscriber Retirement/Acquisition Rate (%):</t>
  </si>
  <si>
    <t xml:space="preserve">Subscriber Subsidy </t>
  </si>
  <si>
    <t>PV Modules:</t>
  </si>
  <si>
    <t>Inverters:</t>
  </si>
  <si>
    <t>Racking:</t>
  </si>
  <si>
    <t>Balance of System:</t>
  </si>
  <si>
    <t>Engineering and Design:</t>
  </si>
  <si>
    <t>Permitting and Interconnection:</t>
  </si>
  <si>
    <t>Installation Labor:</t>
  </si>
  <si>
    <t>Equipment Rental and Freight:</t>
  </si>
  <si>
    <t>Development Overhead:</t>
  </si>
  <si>
    <t>Purchase Cost of Site:</t>
  </si>
  <si>
    <t>Site/Land Preparation Costs:</t>
  </si>
  <si>
    <t>Annual Lease Payments for Site:</t>
  </si>
  <si>
    <t>Removal Cost:</t>
  </si>
  <si>
    <t>Annual System Operations &amp; Maintenance:</t>
  </si>
  <si>
    <t>Federal Investment Tax Credit (ITC):</t>
  </si>
  <si>
    <t>Subscriber Subsidy:</t>
  </si>
  <si>
    <t xml:space="preserve">   SREC Value:</t>
  </si>
  <si>
    <t>SREC Lifetime:</t>
  </si>
  <si>
    <t>SREC Payout Schedule:</t>
  </si>
  <si>
    <t xml:space="preserve">   Tax Rate for MACRs Depreciation:</t>
  </si>
  <si>
    <t>Salvage Value:</t>
  </si>
  <si>
    <t>System Losses (%):</t>
  </si>
  <si>
    <t>Inverter Efficiency (%):</t>
  </si>
  <si>
    <t>State:</t>
  </si>
  <si>
    <t>City:</t>
  </si>
  <si>
    <t>State/Local Generation Incentives, if Applicable:</t>
  </si>
  <si>
    <t>State/Local Capacity Subsidy, if Applicable:</t>
  </si>
  <si>
    <t>State/Local Lump Sum Incentive, if Applicable:</t>
  </si>
  <si>
    <t>Subscriber Community Solar System Financials - Not Subsidized</t>
  </si>
  <si>
    <t>Subscriber Community Solar System Financials - Subsidized</t>
  </si>
  <si>
    <t>Subscriber - Not Subsidized</t>
  </si>
  <si>
    <t>Subscriber - Subsidized</t>
  </si>
  <si>
    <t>For referece: to meet the specified IRR, a system owner would need to achieve the following price per kilowatt-hour if they were to enter into a power purchase agreement with their local utility (instead of engaging in subscriber transactions):</t>
  </si>
  <si>
    <t>Upfront Billing Software Costs:</t>
  </si>
  <si>
    <t>Ongoing Billing Software Licensing Costs:</t>
  </si>
  <si>
    <r>
      <rPr>
        <b/>
        <sz val="14"/>
        <color theme="1"/>
        <rFont val="Calibri"/>
        <family val="2"/>
        <scheme val="minor"/>
      </rPr>
      <t>Community Solar Business Case:</t>
    </r>
    <r>
      <rPr>
        <sz val="14"/>
        <color theme="1"/>
        <rFont val="Calibri"/>
        <family val="2"/>
        <scheme val="minor"/>
      </rPr>
      <t xml:space="preserve">
This tab pulls inputs and assumptions to summarize costs and benefits to the system owner and subscribers over time. </t>
    </r>
  </si>
  <si>
    <t>Chicago</t>
  </si>
  <si>
    <t>IL</t>
  </si>
  <si>
    <t>Community Solar Business Case Tool - Illinois</t>
  </si>
  <si>
    <t>Year 1 Subscriber Management Costs</t>
  </si>
  <si>
    <t>Total Upfront Administrative Costs (Year 1)</t>
  </si>
  <si>
    <t>Total Lifetime Subsciber Management Costs (year 2-25)</t>
  </si>
  <si>
    <t>Marketing Materials Rate per Subscriber</t>
  </si>
  <si>
    <t>v1.21 July 2017</t>
  </si>
  <si>
    <t>Rooftop</t>
  </si>
  <si>
    <t>Carport</t>
  </si>
  <si>
    <t>Ground - Fixed</t>
  </si>
  <si>
    <t>Ground - Tracker</t>
  </si>
  <si>
    <t>COST ASSUMPTIONS FOR CASE STUDIES</t>
  </si>
  <si>
    <t>Host Site</t>
  </si>
  <si>
    <t>Host Site Financials</t>
  </si>
  <si>
    <t>State/Local Nonprofit/Public Sector Incentive</t>
  </si>
  <si>
    <t>Federal MACRS Cash Equivalent</t>
  </si>
  <si>
    <t>State/Local Capacity Incentive</t>
  </si>
  <si>
    <t>Rate Schedule Estimate: Residential Subscriber Price</t>
  </si>
  <si>
    <t>Rate Schedule Estimate: C&amp;I Subscriber Price (Anchor/Host Site)</t>
  </si>
  <si>
    <t>Revenue Estimate - Total</t>
  </si>
  <si>
    <t>Revenue Estimate - Residential Subscribers Share</t>
  </si>
  <si>
    <t>Revenue Estimate - Anchor Subscribers Share</t>
  </si>
  <si>
    <t>Cumulative Subscribers</t>
  </si>
  <si>
    <t>Residential Subscriber Payments: Panel Purchasing Upfront</t>
  </si>
  <si>
    <t>Residential Subscriber Payments: Panel Leasing Ongoing</t>
  </si>
  <si>
    <t>C&amp;I / Anchor Subscriber Payments: Panel Purchasing Upfront</t>
  </si>
  <si>
    <t>C&amp;I / Anchor Subscriber Payments: Panel Leasing Ongoing</t>
  </si>
  <si>
    <t>Year 1 Savings</t>
  </si>
  <si>
    <t>SREC Value Assumptions</t>
  </si>
  <si>
    <t>1,000 to 2,000 kW</t>
  </si>
  <si>
    <t>500 to 1,000 kW</t>
  </si>
  <si>
    <t>250 to 500 kW</t>
  </si>
  <si>
    <t>Baseline Value based on System Size</t>
  </si>
  <si>
    <t>Adder for Residential</t>
  </si>
  <si>
    <t>100% Commercial</t>
  </si>
  <si>
    <t>100% Residential</t>
  </si>
  <si>
    <t>Mixed</t>
  </si>
  <si>
    <t>Adder for 100% Low-income</t>
  </si>
  <si>
    <t>100% Low Income</t>
  </si>
  <si>
    <t>Credit Rate 
Month</t>
  </si>
  <si>
    <t>Residential Subscriber</t>
  </si>
  <si>
    <t>Commercial &amp; Industrial Subscriber</t>
  </si>
  <si>
    <t>Host Site Costs</t>
  </si>
  <si>
    <t>Host Site Financing Costs</t>
  </si>
  <si>
    <t>Host Site Incentive Revenues</t>
  </si>
  <si>
    <t>Lease payments</t>
  </si>
  <si>
    <t>Payback</t>
  </si>
  <si>
    <t>Mixed C&amp;I- Residential</t>
  </si>
  <si>
    <t>&lt;250 kW</t>
  </si>
  <si>
    <t>100% Low-income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</si>
</sst>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 &quot;kWh&quot;"/>
    <numFmt numFmtId="166" formatCode="&quot;$&quot;#,##0"/>
    <numFmt numFmtId="167" formatCode="_(&quot;$&quot;* #,##0_);_(&quot;$&quot;* \(#,##0\);_(&quot;$&quot;* &quot;-&quot;??_);_(@_)"/>
    <numFmt numFmtId="168" formatCode="_(* #,##0_);_(* \(#,##0\);_(* &quot;-&quot;??_);_(@_)"/>
    <numFmt numFmtId="169" formatCode="&quot;$&quot;#,##0.0000"/>
    <numFmt numFmtId="170" formatCode="0.0\ \°\F"/>
    <numFmt numFmtId="171" formatCode="[$-409]mmm\-yy;@"/>
    <numFmt numFmtId="172" formatCode="#,##0_)_%;\(#,##0\)_%;"/>
    <numFmt numFmtId="173" formatCode="_._.* #,##0.0_)_%;_._.* \(#,##0.0\)_%"/>
    <numFmt numFmtId="174" formatCode="#,##0.0_)_%;\(#,##0.0\)_%;\ \ .0_)_%"/>
    <numFmt numFmtId="175" formatCode="_._.* #,##0.00_)_%;_._.* \(#,##0.00\)_%"/>
    <numFmt numFmtId="176" formatCode="#,##0.00_)_%;\(#,##0.00\)_%;\ \ .00_)_%"/>
    <numFmt numFmtId="177" formatCode="_._.* #,##0.000_)_%;_._.* \(#,##0.000\)_%"/>
    <numFmt numFmtId="178" formatCode="#,##0.000_)_%;\(#,##0.000\)_%;\ \ .000_)_%"/>
    <numFmt numFmtId="179" formatCode="_._.* \(#,##0\)_%;_._.* #,##0_)_%;_._.* 0_)_%;_._.@_)_%"/>
    <numFmt numFmtId="180" formatCode="_._.&quot;$&quot;* \(#,##0\)_%;_._.&quot;$&quot;* #,##0_)_%;_._.&quot;$&quot;* 0_)_%;_._.@_)_%"/>
    <numFmt numFmtId="181" formatCode="&quot;$&quot;* #,##0_)_%;&quot;$&quot;* \(#,##0\)_%;&quot;$&quot;* &quot;-&quot;??_)_%;@_)_%"/>
    <numFmt numFmtId="182" formatCode="_._.&quot;$&quot;* #,##0.0_)_%;_._.&quot;$&quot;* \(#,##0.0\)_%"/>
    <numFmt numFmtId="183" formatCode="&quot;$&quot;* #,##0.0_)_%;&quot;$&quot;* \(#,##0.0\)_%;&quot;$&quot;* \ .0_)_%"/>
    <numFmt numFmtId="184" formatCode="_._.&quot;$&quot;* #,##0.00_)_%;_._.&quot;$&quot;* \(#,##0.00\)_%"/>
    <numFmt numFmtId="185" formatCode="&quot;$&quot;* #,##0.00_)_%;&quot;$&quot;* \(#,##0.00\)_%;&quot;$&quot;* \ .00_)_%"/>
    <numFmt numFmtId="186" formatCode="_._.&quot;$&quot;* #,##0.000_)_%;_._.&quot;$&quot;* \(#,##0.000\)_%"/>
    <numFmt numFmtId="187" formatCode="&quot;$&quot;* #,##0.000_)_%;&quot;$&quot;* \(#,##0.000\)_%;&quot;$&quot;* \ .000_)_%"/>
    <numFmt numFmtId="188" formatCode="mmmm\ d\,\ yyyy"/>
    <numFmt numFmtId="189" formatCode="#,##0.0"/>
    <numFmt numFmtId="190" formatCode="_([$€-2]* #,##0.00_);_([$€-2]* \(#,##0.00\);_([$€-2]* &quot;-&quot;??_)"/>
    <numFmt numFmtId="191" formatCode="m/d"/>
    <numFmt numFmtId="192" formatCode="mmm\-dd"/>
    <numFmt numFmtId="193" formatCode="mmm\-dd\ \ dddd"/>
    <numFmt numFmtId="194" formatCode="mmm\-dd\ \ hh"/>
    <numFmt numFmtId="195" formatCode="mmm\-dd\ \ hh:mm"/>
    <numFmt numFmtId="196" formatCode="_(0_)%;\(0\)%"/>
    <numFmt numFmtId="197" formatCode="_._._(* 0_)%;_._.* \(0\)%"/>
    <numFmt numFmtId="198" formatCode="0%_);\(0%\)"/>
    <numFmt numFmtId="199" formatCode="_(0.0_)%;\(0.0\)%"/>
    <numFmt numFmtId="200" formatCode="_._._(* 0.0_)%;_._.* \(0.0\)%"/>
    <numFmt numFmtId="201" formatCode="_(0.00_)%;\(0.00\)%"/>
    <numFmt numFmtId="202" formatCode="_._._(* 0.00_)%;_._.* \(0.00\)%"/>
    <numFmt numFmtId="203" formatCode="_(0.000_)%;\(0.000\)%"/>
    <numFmt numFmtId="204" formatCode="_._._(* 0.000_)%;_._.* \(0.000\)%"/>
    <numFmt numFmtId="205" formatCode="0.000000"/>
    <numFmt numFmtId="206" formatCode="&quot;$&quot;#,##0.00"/>
    <numFmt numFmtId="207" formatCode="_(&quot;$&quot;* #,##0.0000_);_(&quot;$&quot;* \(#,##0.0000\);_(&quot;$&quot;* &quot;-&quot;??_);_(@_)"/>
    <numFmt numFmtId="208" formatCode="0.0"/>
    <numFmt numFmtId="209" formatCode="&quot;$&quot;#,##0.000"/>
    <numFmt numFmtId="210" formatCode="0.0%"/>
  </numFmts>
  <fonts count="102"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0"/>
      <name val="Calibri"/>
      <family val="2"/>
      <scheme val="minor"/>
    </font>
    <font>
      <sz val="11"/>
      <color theme="1"/>
      <name val="Calibri"/>
      <family val="2"/>
    </font>
    <font>
      <u/>
      <sz val="10"/>
      <color indexed="12"/>
      <name val="Arial"/>
      <family val="2"/>
    </font>
    <font>
      <sz val="10"/>
      <name val="Arial"/>
      <family val="2"/>
    </font>
    <font>
      <sz val="11"/>
      <color theme="1"/>
      <name val="Calibri"/>
      <family val="2"/>
      <scheme val="minor"/>
    </font>
    <font>
      <u/>
      <sz val="11"/>
      <color theme="10"/>
      <name val="Calibri"/>
      <family val="2"/>
    </font>
    <font>
      <sz val="8"/>
      <name val="Arial"/>
      <family val="2"/>
    </font>
    <font>
      <b/>
      <sz val="14"/>
      <name val="Arial"/>
      <family val="2"/>
    </font>
    <font>
      <b/>
      <u val="doubleAccounting"/>
      <sz val="11"/>
      <name val="Arial"/>
      <family val="2"/>
    </font>
    <font>
      <sz val="11"/>
      <color indexed="8"/>
      <name val="Calibri"/>
      <family val="2"/>
    </font>
    <font>
      <sz val="11"/>
      <color indexed="8"/>
      <name val="Rockwell"/>
      <family val="2"/>
    </font>
    <font>
      <sz val="11"/>
      <color indexed="9"/>
      <name val="Calibri"/>
      <family val="2"/>
    </font>
    <font>
      <sz val="11"/>
      <color indexed="9"/>
      <name val="Rockwell"/>
      <family val="2"/>
    </font>
    <font>
      <sz val="11"/>
      <color indexed="20"/>
      <name val="Calibri"/>
      <family val="2"/>
    </font>
    <font>
      <sz val="11"/>
      <color rgb="FF9C0006"/>
      <name val="Rockwell"/>
      <family val="2"/>
    </font>
    <font>
      <b/>
      <sz val="11"/>
      <color indexed="52"/>
      <name val="Calibri"/>
      <family val="2"/>
    </font>
    <font>
      <b/>
      <sz val="11"/>
      <name val="Arial"/>
      <family val="2"/>
    </font>
    <font>
      <b/>
      <sz val="11"/>
      <color indexed="9"/>
      <name val="Calibri"/>
      <family val="2"/>
    </font>
    <font>
      <sz val="11"/>
      <name val="Times New Roman"/>
      <family val="1"/>
    </font>
    <font>
      <sz val="9"/>
      <name val="Arial"/>
      <family val="2"/>
    </font>
    <font>
      <u val="singleAccounting"/>
      <sz val="11"/>
      <name val="Times New Roman"/>
      <family val="1"/>
    </font>
    <font>
      <sz val="10"/>
      <color indexed="8"/>
      <name val="Arial"/>
      <family val="2"/>
    </font>
    <font>
      <sz val="11"/>
      <color indexed="8"/>
      <name val="Arial"/>
      <family val="2"/>
    </font>
    <font>
      <sz val="11"/>
      <color indexed="12"/>
      <name val="Times New Roman"/>
      <family val="1"/>
    </font>
    <font>
      <i/>
      <sz val="11"/>
      <color indexed="23"/>
      <name val="Calibri"/>
      <family val="2"/>
    </font>
    <font>
      <sz val="11"/>
      <color indexed="17"/>
      <name val="Calibri"/>
      <family val="2"/>
    </font>
    <font>
      <sz val="11"/>
      <color rgb="FF006100"/>
      <name val="Rockwell"/>
      <family val="2"/>
    </font>
    <font>
      <b/>
      <sz val="1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rgb="FF3F3F76"/>
      <name val="Rockwell"/>
      <family val="2"/>
    </font>
    <font>
      <sz val="11"/>
      <color indexed="52"/>
      <name val="Calibri"/>
      <family val="2"/>
    </font>
    <font>
      <sz val="10"/>
      <color indexed="14"/>
      <name val="Times New Roman"/>
      <family val="1"/>
    </font>
    <font>
      <sz val="11"/>
      <color indexed="60"/>
      <name val="Calibri"/>
      <family val="2"/>
    </font>
    <font>
      <sz val="10"/>
      <color theme="1"/>
      <name val="Arial"/>
      <family val="2"/>
    </font>
    <font>
      <sz val="12"/>
      <name val="Arial"/>
      <family val="2"/>
    </font>
    <font>
      <b/>
      <sz val="10"/>
      <color indexed="24"/>
      <name val="Arial"/>
      <family val="2"/>
    </font>
    <font>
      <b/>
      <sz val="11"/>
      <color indexed="8"/>
      <name val="Arial"/>
      <family val="2"/>
    </font>
    <font>
      <b/>
      <sz val="10"/>
      <color indexed="10"/>
      <name val="Arial"/>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theme="1"/>
      <name val="Calibri"/>
      <family val="2"/>
      <scheme val="minor"/>
    </font>
    <font>
      <sz val="11"/>
      <name val="Calibri"/>
      <family val="2"/>
      <scheme val="minor"/>
    </font>
    <font>
      <sz val="11"/>
      <color rgb="FF0000FF"/>
      <name val="Calibri"/>
      <family val="2"/>
      <scheme val="minor"/>
    </font>
    <font>
      <b/>
      <i/>
      <sz val="11"/>
      <color theme="1"/>
      <name val="Calibri"/>
      <family val="2"/>
      <scheme val="minor"/>
    </font>
    <font>
      <sz val="11"/>
      <name val="Calibri"/>
      <family val="2"/>
    </font>
    <font>
      <b/>
      <sz val="16"/>
      <name val="Calibri"/>
      <family val="2"/>
      <scheme val="minor"/>
    </font>
    <font>
      <sz val="11"/>
      <color rgb="FF0000FF"/>
      <name val="Calibri"/>
      <family val="2"/>
    </font>
    <font>
      <i/>
      <sz val="14"/>
      <color theme="1"/>
      <name val="Calibri"/>
      <family val="2"/>
    </font>
    <font>
      <b/>
      <sz val="11"/>
      <color rgb="FFFF0000"/>
      <name val="Calibri"/>
      <family val="2"/>
    </font>
    <font>
      <b/>
      <sz val="12"/>
      <name val="Calibri"/>
      <family val="2"/>
      <scheme val="minor"/>
    </font>
    <font>
      <sz val="12"/>
      <name val="Calibri"/>
      <family val="2"/>
      <scheme val="minor"/>
    </font>
    <font>
      <b/>
      <sz val="14"/>
      <color theme="1"/>
      <name val="Calibri"/>
      <family val="2"/>
      <scheme val="minor"/>
    </font>
    <font>
      <b/>
      <sz val="11"/>
      <name val="Calibri"/>
      <family val="2"/>
    </font>
    <font>
      <sz val="9"/>
      <color indexed="81"/>
      <name val="Tahoma"/>
      <family val="2"/>
    </font>
    <font>
      <b/>
      <sz val="9"/>
      <color indexed="81"/>
      <name val="Tahoma"/>
      <family val="2"/>
    </font>
    <font>
      <sz val="12"/>
      <color rgb="FF0000FF"/>
      <name val="Calibri"/>
      <family val="2"/>
      <scheme val="minor"/>
    </font>
    <font>
      <b/>
      <sz val="11"/>
      <name val="Calibri"/>
      <family val="2"/>
      <scheme val="minor"/>
    </font>
    <font>
      <b/>
      <u/>
      <sz val="11"/>
      <color theme="1"/>
      <name val="Calibri"/>
      <family val="2"/>
      <scheme val="minor"/>
    </font>
    <font>
      <sz val="11"/>
      <color rgb="FF0000CC"/>
      <name val="Calibri"/>
      <family val="2"/>
      <scheme val="minor"/>
    </font>
    <font>
      <b/>
      <u/>
      <sz val="11"/>
      <name val="Calibri"/>
      <family val="2"/>
      <scheme val="minor"/>
    </font>
    <font>
      <b/>
      <i/>
      <sz val="11"/>
      <name val="Calibri"/>
      <family val="2"/>
      <scheme val="minor"/>
    </font>
    <font>
      <b/>
      <i/>
      <u/>
      <sz val="11"/>
      <name val="Calibri"/>
      <family val="2"/>
      <scheme val="minor"/>
    </font>
    <font>
      <i/>
      <sz val="11"/>
      <name val="Calibri"/>
      <family val="2"/>
      <scheme val="minor"/>
    </font>
    <font>
      <b/>
      <i/>
      <sz val="11"/>
      <color rgb="FFFF0000"/>
      <name val="Calibri"/>
      <family val="2"/>
      <scheme val="minor"/>
    </font>
    <font>
      <sz val="12"/>
      <color rgb="FF010000"/>
      <name val="Calibri"/>
      <family val="2"/>
      <scheme val="minor"/>
    </font>
    <font>
      <i/>
      <sz val="10"/>
      <name val="Calibri"/>
      <family val="2"/>
      <scheme val="minor"/>
    </font>
    <font>
      <b/>
      <i/>
      <sz val="10"/>
      <name val="Calibri"/>
      <family val="2"/>
      <scheme val="minor"/>
    </font>
    <font>
      <sz val="14"/>
      <color theme="1"/>
      <name val="Calibri"/>
      <family val="2"/>
      <scheme val="minor"/>
    </font>
    <font>
      <sz val="14"/>
      <name val="Calibri"/>
      <family val="2"/>
      <scheme val="minor"/>
    </font>
    <font>
      <b/>
      <sz val="11"/>
      <color rgb="FFC00000"/>
      <name val="Calibri"/>
      <family val="2"/>
      <scheme val="minor"/>
    </font>
    <font>
      <b/>
      <sz val="11"/>
      <color rgb="FF0000FF"/>
      <name val="Calibri"/>
      <family val="2"/>
      <scheme val="minor"/>
    </font>
    <font>
      <b/>
      <sz val="11"/>
      <color rgb="FFFF0000"/>
      <name val="Calibri"/>
      <family val="2"/>
      <scheme val="minor"/>
    </font>
    <font>
      <i/>
      <sz val="12"/>
      <color theme="1"/>
      <name val="Calibri"/>
      <family val="2"/>
    </font>
    <font>
      <b/>
      <i/>
      <sz val="14"/>
      <color theme="1"/>
      <name val="Calibri"/>
      <family val="2"/>
    </font>
    <font>
      <u/>
      <sz val="11"/>
      <color theme="10"/>
      <name val="Calibri"/>
      <family val="2"/>
      <scheme val="minor"/>
    </font>
    <font>
      <b/>
      <sz val="18"/>
      <color theme="1"/>
      <name val="Calibri"/>
      <family val="2"/>
      <scheme val="minor"/>
    </font>
    <font>
      <b/>
      <sz val="14"/>
      <name val="Calibri"/>
      <family val="2"/>
      <scheme val="minor"/>
    </font>
    <font>
      <sz val="14"/>
      <color rgb="FF0000FF"/>
      <name val="Calibri"/>
      <family val="2"/>
      <scheme val="minor"/>
    </font>
    <font>
      <sz val="14"/>
      <color rgb="FFFF000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5"/>
      </patternFill>
    </fill>
    <fill>
      <patternFill patternType="solid">
        <fgColor theme="5" tint="0.39997558519241921"/>
        <bgColor indexed="65"/>
      </patternFill>
    </fill>
    <fill>
      <patternFill patternType="solid">
        <fgColor theme="6" tint="0.59999389629810485"/>
        <bgColor indexed="65"/>
      </patternFill>
    </fill>
    <fill>
      <patternFill patternType="solid">
        <fgColor indexed="55"/>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AB2F"/>
        <bgColor indexed="64"/>
      </patternFill>
    </fill>
    <fill>
      <patternFill patternType="solid">
        <fgColor theme="0" tint="-4.9989318521683403E-2"/>
        <bgColor indexed="64"/>
      </patternFill>
    </fill>
    <fill>
      <patternFill patternType="solid">
        <fgColor rgb="FFFF9900"/>
        <bgColor indexed="64"/>
      </patternFill>
    </fill>
    <fill>
      <patternFill patternType="solid">
        <fgColor theme="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2"/>
        <bgColor indexed="64"/>
      </patternFill>
    </fill>
    <fill>
      <patternFill patternType="solid">
        <fgColor rgb="FFEDF2F9"/>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4"/>
      </left>
      <right style="thin">
        <color indexed="24"/>
      </right>
      <top style="thin">
        <color indexed="24"/>
      </top>
      <bottom style="thin">
        <color indexed="24"/>
      </bottom>
      <diagonal/>
    </border>
    <border>
      <left/>
      <right/>
      <top style="thin">
        <color indexed="62"/>
      </top>
      <bottom style="double">
        <color indexed="62"/>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auto="1"/>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thin">
        <color auto="1"/>
      </top>
      <bottom/>
      <diagonal/>
    </border>
    <border>
      <left/>
      <right style="thick">
        <color indexed="64"/>
      </right>
      <top/>
      <bottom style="thin">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n">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4"/>
      </left>
      <right style="thin">
        <color indexed="24"/>
      </right>
      <top style="thin">
        <color indexed="24"/>
      </top>
      <bottom style="thin">
        <color indexed="2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4"/>
      </left>
      <right style="thin">
        <color indexed="24"/>
      </right>
      <top style="thin">
        <color indexed="24"/>
      </top>
      <bottom style="thin">
        <color indexed="2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s>
  <cellStyleXfs count="903">
    <xf numFmtId="0" fontId="0" fillId="0" borderId="0"/>
    <xf numFmtId="0" fontId="5" fillId="0" borderId="0"/>
    <xf numFmtId="0" fontId="6"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4" fontId="5" fillId="0" borderId="0" applyFont="0" applyFill="0" applyBorder="0" applyAlignment="0" applyProtection="0"/>
    <xf numFmtId="0" fontId="9" fillId="0" borderId="0" applyNumberFormat="0" applyFill="0" applyBorder="0" applyAlignment="0" applyProtection="0"/>
    <xf numFmtId="170" fontId="10" fillId="0" borderId="0"/>
    <xf numFmtId="170" fontId="10" fillId="0" borderId="0"/>
    <xf numFmtId="171" fontId="7" fillId="0" borderId="0"/>
    <xf numFmtId="0" fontId="7" fillId="0" borderId="0"/>
    <xf numFmtId="171" fontId="11" fillId="8" borderId="0">
      <alignment horizontal="center" vertical="center"/>
    </xf>
    <xf numFmtId="171" fontId="11" fillId="8" borderId="0">
      <alignment horizontal="center" vertical="center"/>
    </xf>
    <xf numFmtId="171" fontId="11" fillId="8" borderId="0">
      <alignment horizontal="center" vertical="center"/>
    </xf>
    <xf numFmtId="0" fontId="11" fillId="8" borderId="0">
      <alignment horizontal="center" vertical="center"/>
    </xf>
    <xf numFmtId="171" fontId="11" fillId="8" borderId="0">
      <alignment horizontal="center" vertical="center"/>
    </xf>
    <xf numFmtId="0" fontId="11" fillId="8" borderId="0">
      <alignment horizontal="center" vertical="center"/>
    </xf>
    <xf numFmtId="171" fontId="11" fillId="8" borderId="0">
      <alignment horizontal="center" vertical="center"/>
    </xf>
    <xf numFmtId="0" fontId="11" fillId="8" borderId="0">
      <alignment horizontal="center" vertical="center"/>
    </xf>
    <xf numFmtId="171" fontId="11" fillId="8" borderId="0">
      <alignment horizontal="center" vertical="center"/>
    </xf>
    <xf numFmtId="0" fontId="11" fillId="8" borderId="0">
      <alignment horizontal="center" vertical="center"/>
    </xf>
    <xf numFmtId="171" fontId="11" fillId="8" borderId="0">
      <alignment horizontal="center" vertical="center"/>
    </xf>
    <xf numFmtId="0" fontId="11" fillId="8" borderId="0">
      <alignment horizontal="center" vertical="center"/>
    </xf>
    <xf numFmtId="0" fontId="11" fillId="8" borderId="0">
      <alignment horizontal="center" vertical="center"/>
    </xf>
    <xf numFmtId="0" fontId="11" fillId="8" borderId="0">
      <alignment horizontal="center" vertical="center"/>
    </xf>
    <xf numFmtId="171" fontId="12" fillId="9" borderId="0">
      <alignment horizontal="center" vertical="center"/>
    </xf>
    <xf numFmtId="171" fontId="12" fillId="9" borderId="0">
      <alignment horizontal="center" vertical="center"/>
    </xf>
    <xf numFmtId="171" fontId="12" fillId="9" borderId="0">
      <alignment horizontal="center" vertical="center"/>
    </xf>
    <xf numFmtId="0" fontId="12" fillId="9" borderId="0">
      <alignment horizontal="center" vertical="center"/>
    </xf>
    <xf numFmtId="171" fontId="12" fillId="9" borderId="0">
      <alignment horizontal="center" vertical="center"/>
    </xf>
    <xf numFmtId="0" fontId="12" fillId="9" borderId="0">
      <alignment horizontal="center" vertical="center"/>
    </xf>
    <xf numFmtId="171" fontId="12" fillId="9" borderId="0">
      <alignment horizontal="center" vertical="center"/>
    </xf>
    <xf numFmtId="0" fontId="12" fillId="9" borderId="0">
      <alignment horizontal="center" vertical="center"/>
    </xf>
    <xf numFmtId="171" fontId="12" fillId="9" borderId="0">
      <alignment horizontal="center" vertical="center"/>
    </xf>
    <xf numFmtId="0" fontId="12" fillId="9" borderId="0">
      <alignment horizontal="center" vertical="center"/>
    </xf>
    <xf numFmtId="171" fontId="12" fillId="9" borderId="0">
      <alignment horizontal="center" vertical="center"/>
    </xf>
    <xf numFmtId="0" fontId="12" fillId="9" borderId="0">
      <alignment horizontal="center" vertical="center"/>
    </xf>
    <xf numFmtId="0" fontId="12" fillId="9" borderId="0">
      <alignment horizontal="center" vertical="center"/>
    </xf>
    <xf numFmtId="0" fontId="12" fillId="9" borderId="0">
      <alignment horizontal="center" vertical="center"/>
    </xf>
    <xf numFmtId="171" fontId="13" fillId="10" borderId="0" applyNumberFormat="0" applyBorder="0" applyAlignment="0" applyProtection="0"/>
    <xf numFmtId="171" fontId="13" fillId="11" borderId="0" applyNumberFormat="0" applyBorder="0" applyAlignment="0" applyProtection="0"/>
    <xf numFmtId="171" fontId="13" fillId="12" borderId="0" applyNumberFormat="0" applyBorder="0" applyAlignment="0" applyProtection="0"/>
    <xf numFmtId="171" fontId="13" fillId="13" borderId="0" applyNumberFormat="0" applyBorder="0" applyAlignment="0" applyProtection="0"/>
    <xf numFmtId="171" fontId="13" fillId="14" borderId="0" applyNumberFormat="0" applyBorder="0" applyAlignment="0" applyProtection="0"/>
    <xf numFmtId="171" fontId="13" fillId="15" borderId="0" applyNumberFormat="0" applyBorder="0" applyAlignment="0" applyProtection="0"/>
    <xf numFmtId="171" fontId="13" fillId="16" borderId="0" applyNumberFormat="0" applyBorder="0" applyAlignment="0" applyProtection="0"/>
    <xf numFmtId="171" fontId="13" fillId="17" borderId="0" applyNumberFormat="0" applyBorder="0" applyAlignment="0" applyProtection="0"/>
    <xf numFmtId="171" fontId="14" fillId="17"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171" fontId="14" fillId="18" borderId="0" applyNumberFormat="0" applyBorder="0" applyAlignment="0" applyProtection="0"/>
    <xf numFmtId="0" fontId="14" fillId="18" borderId="0" applyNumberFormat="0" applyBorder="0" applyAlignment="0" applyProtection="0"/>
    <xf numFmtId="0" fontId="14" fillId="7" borderId="0" applyNumberFormat="0" applyBorder="0" applyAlignment="0" applyProtection="0"/>
    <xf numFmtId="171" fontId="13" fillId="18" borderId="0" applyNumberFormat="0" applyBorder="0" applyAlignment="0" applyProtection="0"/>
    <xf numFmtId="0" fontId="14" fillId="7" borderId="0" applyNumberFormat="0" applyBorder="0" applyAlignment="0" applyProtection="0"/>
    <xf numFmtId="171" fontId="13" fillId="13" borderId="0" applyNumberFormat="0" applyBorder="0" applyAlignment="0" applyProtection="0"/>
    <xf numFmtId="171" fontId="13" fillId="16" borderId="0" applyNumberFormat="0" applyBorder="0" applyAlignment="0" applyProtection="0"/>
    <xf numFmtId="171" fontId="13" fillId="19" borderId="0" applyNumberFormat="0" applyBorder="0" applyAlignment="0" applyProtection="0"/>
    <xf numFmtId="171" fontId="15" fillId="20" borderId="0" applyNumberFormat="0" applyBorder="0" applyAlignment="0" applyProtection="0"/>
    <xf numFmtId="171" fontId="16" fillId="15" borderId="0" applyNumberFormat="0" applyBorder="0" applyAlignment="0" applyProtection="0"/>
    <xf numFmtId="171" fontId="16" fillId="17" borderId="0" applyNumberFormat="0" applyBorder="0" applyAlignment="0" applyProtection="0"/>
    <xf numFmtId="0" fontId="16" fillId="17" borderId="0" applyNumberFormat="0" applyBorder="0" applyAlignment="0" applyProtection="0"/>
    <xf numFmtId="171" fontId="16" fillId="17" borderId="0" applyNumberFormat="0" applyBorder="0" applyAlignment="0" applyProtection="0"/>
    <xf numFmtId="0" fontId="16" fillId="17" borderId="0" applyNumberFormat="0" applyBorder="0" applyAlignment="0" applyProtection="0"/>
    <xf numFmtId="171" fontId="16" fillId="17" borderId="0" applyNumberFormat="0" applyBorder="0" applyAlignment="0" applyProtection="0"/>
    <xf numFmtId="0" fontId="16" fillId="17" borderId="0" applyNumberFormat="0" applyBorder="0" applyAlignment="0" applyProtection="0"/>
    <xf numFmtId="171" fontId="16" fillId="17" borderId="0" applyNumberFormat="0" applyBorder="0" applyAlignment="0" applyProtection="0"/>
    <xf numFmtId="0" fontId="16" fillId="17" borderId="0" applyNumberFormat="0" applyBorder="0" applyAlignment="0" applyProtection="0"/>
    <xf numFmtId="171" fontId="16" fillId="17"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171" fontId="15" fillId="17" borderId="0" applyNumberFormat="0" applyBorder="0" applyAlignment="0" applyProtection="0"/>
    <xf numFmtId="0" fontId="16" fillId="6" borderId="0" applyNumberFormat="0" applyBorder="0" applyAlignment="0" applyProtection="0"/>
    <xf numFmtId="171" fontId="15" fillId="18" borderId="0" applyNumberFormat="0" applyBorder="0" applyAlignment="0" applyProtection="0"/>
    <xf numFmtId="171" fontId="15" fillId="21" borderId="0" applyNumberFormat="0" applyBorder="0" applyAlignment="0" applyProtection="0"/>
    <xf numFmtId="171" fontId="15" fillId="22" borderId="0" applyNumberFormat="0" applyBorder="0" applyAlignment="0" applyProtection="0"/>
    <xf numFmtId="171" fontId="15" fillId="23" borderId="0" applyNumberFormat="0" applyBorder="0" applyAlignment="0" applyProtection="0"/>
    <xf numFmtId="171" fontId="15" fillId="24" borderId="3"/>
    <xf numFmtId="0" fontId="15" fillId="24" borderId="3"/>
    <xf numFmtId="171" fontId="15" fillId="25" borderId="0" applyNumberFormat="0" applyBorder="0" applyAlignment="0" applyProtection="0"/>
    <xf numFmtId="171" fontId="15" fillId="24" borderId="0" applyNumberFormat="0" applyBorder="0" applyAlignment="0" applyProtection="0"/>
    <xf numFmtId="0" fontId="16" fillId="5" borderId="0" applyNumberFormat="0" applyBorder="0" applyAlignment="0" applyProtection="0"/>
    <xf numFmtId="171" fontId="15" fillId="26" borderId="0" applyNumberFormat="0" applyBorder="0" applyAlignment="0" applyProtection="0"/>
    <xf numFmtId="171" fontId="15" fillId="21" borderId="0" applyNumberFormat="0" applyBorder="0" applyAlignment="0" applyProtection="0"/>
    <xf numFmtId="171" fontId="15" fillId="22" borderId="0" applyNumberFormat="0" applyBorder="0" applyAlignment="0" applyProtection="0"/>
    <xf numFmtId="171" fontId="15" fillId="27" borderId="0" applyNumberFormat="0" applyBorder="0" applyAlignment="0" applyProtection="0"/>
    <xf numFmtId="171" fontId="17" fillId="11" borderId="0" applyNumberFormat="0" applyBorder="0" applyAlignment="0" applyProtection="0"/>
    <xf numFmtId="0" fontId="18" fillId="3" borderId="0" applyNumberFormat="0" applyBorder="0" applyAlignment="0" applyProtection="0"/>
    <xf numFmtId="171" fontId="19" fillId="28" borderId="12" applyNumberFormat="0" applyAlignment="0" applyProtection="0"/>
    <xf numFmtId="171" fontId="20" fillId="0" borderId="0" applyFill="0" applyBorder="0" applyProtection="0">
      <alignment horizontal="center"/>
      <protection locked="0"/>
    </xf>
    <xf numFmtId="0" fontId="20" fillId="0" borderId="0" applyFill="0" applyBorder="0" applyProtection="0">
      <alignment horizontal="center"/>
      <protection locked="0"/>
    </xf>
    <xf numFmtId="171" fontId="21" fillId="29" borderId="13" applyNumberFormat="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3" fontId="22" fillId="0" borderId="0" applyFont="0" applyFill="0" applyBorder="0" applyAlignment="0" applyProtection="0"/>
    <xf numFmtId="174" fontId="23" fillId="0" borderId="0" applyFont="0" applyFill="0" applyBorder="0" applyAlignment="0" applyProtection="0"/>
    <xf numFmtId="175" fontId="24" fillId="0" borderId="0" applyFont="0" applyFill="0" applyBorder="0" applyAlignment="0" applyProtection="0"/>
    <xf numFmtId="176" fontId="23" fillId="0" borderId="0" applyFont="0" applyFill="0" applyBorder="0" applyAlignment="0" applyProtection="0"/>
    <xf numFmtId="177" fontId="24" fillId="0" borderId="0" applyFont="0" applyFill="0" applyBorder="0" applyAlignment="0" applyProtection="0"/>
    <xf numFmtId="178"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11" fillId="0" borderId="0" applyFill="0" applyBorder="0" applyAlignment="0" applyProtection="0">
      <protection locked="0"/>
    </xf>
    <xf numFmtId="0" fontId="11" fillId="0" borderId="0" applyFill="0" applyBorder="0" applyAlignment="0" applyProtection="0">
      <protection locked="0"/>
    </xf>
    <xf numFmtId="179" fontId="27" fillId="0" borderId="0" applyFill="0" applyBorder="0" applyProtection="0"/>
    <xf numFmtId="180" fontId="22"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2" fontId="24" fillId="0" borderId="0" applyFont="0" applyFill="0" applyBorder="0" applyAlignment="0" applyProtection="0"/>
    <xf numFmtId="183" fontId="23" fillId="0" borderId="0" applyFont="0" applyFill="0" applyBorder="0" applyAlignment="0" applyProtection="0"/>
    <xf numFmtId="184" fontId="24" fillId="0" borderId="0" applyFont="0" applyFill="0" applyBorder="0" applyAlignment="0" applyProtection="0"/>
    <xf numFmtId="185" fontId="23" fillId="0" borderId="0" applyFont="0" applyFill="0" applyBorder="0" applyAlignment="0" applyProtection="0"/>
    <xf numFmtId="186" fontId="24" fillId="0" borderId="0" applyFont="0" applyFill="0" applyBorder="0" applyAlignment="0" applyProtection="0"/>
    <xf numFmtId="187" fontId="2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90" fontId="7" fillId="0" borderId="0" applyFont="0" applyFill="0" applyBorder="0" applyAlignment="0" applyProtection="0"/>
    <xf numFmtId="171" fontId="7" fillId="0" borderId="0" applyFont="0" applyFill="0" applyBorder="0" applyAlignment="0" applyProtection="0"/>
    <xf numFmtId="190" fontId="7" fillId="0" borderId="0" applyFont="0" applyFill="0" applyBorder="0" applyAlignment="0" applyProtection="0"/>
    <xf numFmtId="171" fontId="7" fillId="0" borderId="0" applyFont="0" applyFill="0" applyBorder="0" applyAlignment="0" applyProtection="0"/>
    <xf numFmtId="190" fontId="7" fillId="0" borderId="0" applyFont="0" applyFill="0" applyBorder="0" applyAlignment="0" applyProtection="0"/>
    <xf numFmtId="171" fontId="7" fillId="0" borderId="0" applyFont="0" applyFill="0" applyBorder="0" applyAlignment="0" applyProtection="0"/>
    <xf numFmtId="190" fontId="7" fillId="0" borderId="0" applyFont="0" applyFill="0" applyBorder="0" applyAlignment="0" applyProtection="0"/>
    <xf numFmtId="171" fontId="7" fillId="0" borderId="0" applyFont="0" applyFill="0" applyBorder="0" applyAlignment="0" applyProtection="0"/>
    <xf numFmtId="190" fontId="7" fillId="0" borderId="0" applyFont="0" applyFill="0" applyBorder="0" applyAlignment="0" applyProtection="0"/>
    <xf numFmtId="190" fontId="7" fillId="0" borderId="0" applyFont="0" applyFill="0" applyBorder="0" applyAlignment="0" applyProtection="0"/>
    <xf numFmtId="171" fontId="28" fillId="0" borderId="0" applyNumberFormat="0" applyFill="0" applyBorder="0" applyAlignment="0" applyProtection="0"/>
    <xf numFmtId="171" fontId="29" fillId="12" borderId="0" applyNumberFormat="0" applyBorder="0" applyAlignment="0" applyProtection="0"/>
    <xf numFmtId="0" fontId="30" fillId="2" borderId="0" applyNumberFormat="0" applyBorder="0" applyAlignment="0" applyProtection="0"/>
    <xf numFmtId="14" fontId="31" fillId="30" borderId="14">
      <alignment horizontal="center" vertical="center" wrapText="1"/>
    </xf>
    <xf numFmtId="171" fontId="32" fillId="0" borderId="15" applyNumberFormat="0" applyFill="0" applyAlignment="0" applyProtection="0"/>
    <xf numFmtId="171" fontId="33" fillId="0" borderId="16" applyNumberFormat="0" applyFill="0" applyAlignment="0" applyProtection="0"/>
    <xf numFmtId="171" fontId="34" fillId="0" borderId="17" applyNumberFormat="0" applyFill="0" applyAlignment="0" applyProtection="0"/>
    <xf numFmtId="171" fontId="34" fillId="0" borderId="0" applyNumberFormat="0" applyFill="0" applyBorder="0" applyAlignment="0" applyProtection="0"/>
    <xf numFmtId="171" fontId="20" fillId="0" borderId="0" applyFill="0" applyAlignment="0" applyProtection="0">
      <protection locked="0"/>
    </xf>
    <xf numFmtId="0" fontId="20" fillId="0" borderId="0" applyFill="0" applyAlignment="0" applyProtection="0">
      <protection locked="0"/>
    </xf>
    <xf numFmtId="171" fontId="20" fillId="0" borderId="18" applyFill="0" applyAlignment="0" applyProtection="0">
      <protection locked="0"/>
    </xf>
    <xf numFmtId="0" fontId="20" fillId="0" borderId="18" applyFill="0" applyAlignment="0" applyProtection="0">
      <protection locked="0"/>
    </xf>
    <xf numFmtId="171" fontId="35" fillId="15" borderId="12" applyNumberFormat="0" applyAlignment="0" applyProtection="0"/>
    <xf numFmtId="0" fontId="36" fillId="4" borderId="11" applyNumberFormat="0" applyAlignment="0" applyProtection="0"/>
    <xf numFmtId="0" fontId="36" fillId="31" borderId="11" applyNumberFormat="0" applyAlignment="0" applyProtection="0"/>
    <xf numFmtId="171" fontId="37" fillId="0" borderId="19" applyNumberFormat="0" applyFill="0" applyAlignment="0" applyProtection="0"/>
    <xf numFmtId="191" fontId="38" fillId="0" borderId="0" applyNumberFormat="0" applyAlignment="0">
      <alignment horizontal="center"/>
    </xf>
    <xf numFmtId="192" fontId="10" fillId="0" borderId="0">
      <alignment horizontal="left"/>
    </xf>
    <xf numFmtId="193" fontId="10" fillId="0" borderId="0">
      <alignment horizontal="left"/>
    </xf>
    <xf numFmtId="193" fontId="10" fillId="0" borderId="0">
      <alignment horizontal="left"/>
    </xf>
    <xf numFmtId="194" fontId="10" fillId="0" borderId="0">
      <alignment horizontal="left"/>
    </xf>
    <xf numFmtId="194" fontId="10" fillId="0" borderId="0">
      <alignment horizontal="left"/>
    </xf>
    <xf numFmtId="195" fontId="10" fillId="0" borderId="0">
      <alignment horizontal="left"/>
    </xf>
    <xf numFmtId="195" fontId="10" fillId="0" borderId="0">
      <alignment horizontal="left"/>
    </xf>
    <xf numFmtId="192" fontId="10" fillId="0" borderId="0">
      <alignment horizontal="left"/>
    </xf>
    <xf numFmtId="171" fontId="39" fillId="31" borderId="0" applyNumberFormat="0" applyBorder="0" applyAlignment="0" applyProtection="0"/>
    <xf numFmtId="171" fontId="7" fillId="0" borderId="0"/>
    <xf numFmtId="171" fontId="7" fillId="0" borderId="0"/>
    <xf numFmtId="171" fontId="40" fillId="0" borderId="0"/>
    <xf numFmtId="0" fontId="40" fillId="0" borderId="0"/>
    <xf numFmtId="171"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171" fontId="13" fillId="0" borderId="0"/>
    <xf numFmtId="171" fontId="7" fillId="0" borderId="0"/>
    <xf numFmtId="171" fontId="7" fillId="0" borderId="0"/>
    <xf numFmtId="0" fontId="7" fillId="0" borderId="0"/>
    <xf numFmtId="171" fontId="7" fillId="0" borderId="0"/>
    <xf numFmtId="0" fontId="7" fillId="0" borderId="0"/>
    <xf numFmtId="171" fontId="7" fillId="0" borderId="0"/>
    <xf numFmtId="0" fontId="7" fillId="0" borderId="0"/>
    <xf numFmtId="0" fontId="7" fillId="0" borderId="0"/>
    <xf numFmtId="171" fontId="7" fillId="0" borderId="0"/>
    <xf numFmtId="0" fontId="7" fillId="0" borderId="0"/>
    <xf numFmtId="171" fontId="7" fillId="0" borderId="0"/>
    <xf numFmtId="0" fontId="7" fillId="0" borderId="0"/>
    <xf numFmtId="171" fontId="13" fillId="0" borderId="0"/>
    <xf numFmtId="0" fontId="13" fillId="0" borderId="0"/>
    <xf numFmtId="171" fontId="13" fillId="0" borderId="0"/>
    <xf numFmtId="0" fontId="13" fillId="0" borderId="0"/>
    <xf numFmtId="0" fontId="13" fillId="0" borderId="0"/>
    <xf numFmtId="171" fontId="26" fillId="0" borderId="0"/>
    <xf numFmtId="171"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0" fontId="26" fillId="0" borderId="0"/>
    <xf numFmtId="171"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0" fontId="26" fillId="0" borderId="0"/>
    <xf numFmtId="171"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0" fontId="26" fillId="0" borderId="0"/>
    <xf numFmtId="0" fontId="26" fillId="0" borderId="0"/>
    <xf numFmtId="0" fontId="8" fillId="0" borderId="0"/>
    <xf numFmtId="0" fontId="8" fillId="0" borderId="0"/>
    <xf numFmtId="171"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0" fontId="26" fillId="0" borderId="0"/>
    <xf numFmtId="0" fontId="8" fillId="0" borderId="0"/>
    <xf numFmtId="0" fontId="8" fillId="0" borderId="0"/>
    <xf numFmtId="171"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171" fontId="26" fillId="0" borderId="0"/>
    <xf numFmtId="0" fontId="26" fillId="0" borderId="0"/>
    <xf numFmtId="0" fontId="26" fillId="0" borderId="0"/>
    <xf numFmtId="171" fontId="7" fillId="0" borderId="0"/>
    <xf numFmtId="171" fontId="7" fillId="0" borderId="0"/>
    <xf numFmtId="0" fontId="7" fillId="0" borderId="0"/>
    <xf numFmtId="171" fontId="7" fillId="0" borderId="0"/>
    <xf numFmtId="0" fontId="7" fillId="0" borderId="0"/>
    <xf numFmtId="171" fontId="7" fillId="0" borderId="0"/>
    <xf numFmtId="0" fontId="7" fillId="0" borderId="0"/>
    <xf numFmtId="0" fontId="7" fillId="0" borderId="0"/>
    <xf numFmtId="171" fontId="25" fillId="0" borderId="0"/>
    <xf numFmtId="171" fontId="25" fillId="0" borderId="0"/>
    <xf numFmtId="0" fontId="25" fillId="0" borderId="0"/>
    <xf numFmtId="171" fontId="25" fillId="0" borderId="0"/>
    <xf numFmtId="0" fontId="25" fillId="0" borderId="0"/>
    <xf numFmtId="171" fontId="25" fillId="0" borderId="0"/>
    <xf numFmtId="0" fontId="25" fillId="0" borderId="0"/>
    <xf numFmtId="171" fontId="25" fillId="0" borderId="0"/>
    <xf numFmtId="0" fontId="25" fillId="0" borderId="0"/>
    <xf numFmtId="171" fontId="25" fillId="0" borderId="0"/>
    <xf numFmtId="0" fontId="25" fillId="0" borderId="0"/>
    <xf numFmtId="0" fontId="25" fillId="0" borderId="0"/>
    <xf numFmtId="171"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13" fillId="32" borderId="20" applyNumberFormat="0" applyFont="0" applyAlignment="0" applyProtection="0"/>
    <xf numFmtId="171" fontId="42" fillId="20" borderId="21" applyNumberFormat="0" applyAlignment="0" applyProtection="0"/>
    <xf numFmtId="171" fontId="42" fillId="20" borderId="21" applyNumberFormat="0" applyAlignment="0" applyProtection="0"/>
    <xf numFmtId="0" fontId="42" fillId="20" borderId="21" applyNumberFormat="0" applyAlignment="0" applyProtection="0"/>
    <xf numFmtId="0" fontId="42" fillId="20" borderId="21" applyNumberFormat="0" applyAlignment="0" applyProtection="0"/>
    <xf numFmtId="196" fontId="24" fillId="0" borderId="0" applyFont="0" applyFill="0" applyBorder="0" applyAlignment="0" applyProtection="0"/>
    <xf numFmtId="197" fontId="22"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9" fontId="24" fillId="0" borderId="0" applyFont="0" applyFill="0" applyBorder="0" applyAlignment="0" applyProtection="0"/>
    <xf numFmtId="200" fontId="22" fillId="0" borderId="0" applyFont="0" applyFill="0" applyBorder="0" applyAlignment="0" applyProtection="0"/>
    <xf numFmtId="201" fontId="24" fillId="0" borderId="0" applyFont="0" applyFill="0" applyBorder="0" applyAlignment="0" applyProtection="0"/>
    <xf numFmtId="202" fontId="22" fillId="0" borderId="0" applyFont="0" applyFill="0" applyBorder="0" applyAlignment="0" applyProtection="0"/>
    <xf numFmtId="203" fontId="24" fillId="0" borderId="0" applyFont="0" applyFill="0" applyBorder="0" applyAlignment="0" applyProtection="0"/>
    <xf numFmtId="204"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8" fontId="43" fillId="1" borderId="0" applyNumberFormat="0" applyFont="0" applyBorder="0" applyAlignment="0">
      <alignment horizontal="right" wrapText="1"/>
    </xf>
    <xf numFmtId="205" fontId="7" fillId="0" borderId="0">
      <alignment horizontal="left" wrapText="1"/>
    </xf>
    <xf numFmtId="205" fontId="7" fillId="0" borderId="0">
      <alignment horizontal="left" wrapText="1"/>
    </xf>
    <xf numFmtId="205" fontId="7" fillId="0" borderId="0">
      <alignment horizontal="left" wrapText="1"/>
    </xf>
    <xf numFmtId="205" fontId="7" fillId="0" borderId="0">
      <alignment horizontal="left" wrapText="1"/>
    </xf>
    <xf numFmtId="205" fontId="7" fillId="0" borderId="0">
      <alignment horizontal="left" wrapText="1"/>
    </xf>
    <xf numFmtId="205" fontId="7" fillId="0" borderId="0">
      <alignment horizontal="left" wrapText="1"/>
    </xf>
    <xf numFmtId="171" fontId="44" fillId="0" borderId="0" applyFill="0" applyBorder="0" applyProtection="0">
      <alignment horizontal="left" vertical="top"/>
    </xf>
    <xf numFmtId="0" fontId="44" fillId="0" borderId="0" applyFill="0" applyBorder="0" applyProtection="0">
      <alignment horizontal="left" vertical="top"/>
    </xf>
    <xf numFmtId="171" fontId="45" fillId="0" borderId="0" applyNumberFormat="0" applyFill="0" applyBorder="0" applyAlignment="0" applyProtection="0"/>
    <xf numFmtId="171" fontId="46" fillId="0" borderId="22" applyNumberFormat="0" applyFill="0" applyAlignment="0" applyProtection="0"/>
    <xf numFmtId="171" fontId="47" fillId="0" borderId="0" applyNumberFormat="0" applyFill="0" applyBorder="0" applyAlignment="0" applyProtection="0"/>
    <xf numFmtId="43" fontId="8" fillId="0" borderId="0" applyFont="0" applyFill="0" applyBorder="0" applyAlignment="0" applyProtection="0"/>
    <xf numFmtId="0" fontId="48" fillId="0" borderId="0" applyNumberFormat="0" applyFill="0" applyBorder="0" applyAlignment="0" applyProtection="0"/>
    <xf numFmtId="0" fontId="49" fillId="0" borderId="32" applyNumberFormat="0" applyFill="0" applyAlignment="0" applyProtection="0"/>
    <xf numFmtId="0" fontId="50" fillId="0" borderId="33" applyNumberFormat="0" applyFill="0" applyAlignment="0" applyProtection="0"/>
    <xf numFmtId="0" fontId="51" fillId="0" borderId="34" applyNumberFormat="0" applyFill="0" applyAlignment="0" applyProtection="0"/>
    <xf numFmtId="0" fontId="51" fillId="0" borderId="0" applyNumberForma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34" borderId="0" applyNumberFormat="0" applyBorder="0" applyAlignment="0" applyProtection="0"/>
    <xf numFmtId="0" fontId="55" fillId="4" borderId="11" applyNumberFormat="0" applyAlignment="0" applyProtection="0"/>
    <xf numFmtId="0" fontId="56" fillId="35" borderId="35" applyNumberFormat="0" applyAlignment="0" applyProtection="0"/>
    <xf numFmtId="0" fontId="57" fillId="35" borderId="11" applyNumberFormat="0" applyAlignment="0" applyProtection="0"/>
    <xf numFmtId="0" fontId="58" fillId="0" borderId="36" applyNumberFormat="0" applyFill="0" applyAlignment="0" applyProtection="0"/>
    <xf numFmtId="0" fontId="59" fillId="36" borderId="37" applyNumberFormat="0" applyAlignment="0" applyProtection="0"/>
    <xf numFmtId="0" fontId="60" fillId="0" borderId="0" applyNumberFormat="0" applyFill="0" applyBorder="0" applyAlignment="0" applyProtection="0"/>
    <xf numFmtId="0" fontId="8" fillId="37" borderId="38" applyNumberFormat="0" applyFont="0" applyAlignment="0" applyProtection="0"/>
    <xf numFmtId="0" fontId="61" fillId="0" borderId="0" applyNumberFormat="0" applyFill="0" applyBorder="0" applyAlignment="0" applyProtection="0"/>
    <xf numFmtId="0" fontId="1" fillId="0" borderId="39" applyNumberFormat="0" applyFill="0" applyAlignment="0" applyProtection="0"/>
    <xf numFmtId="0" fontId="62"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62" fillId="41" borderId="0" applyNumberFormat="0" applyBorder="0" applyAlignment="0" applyProtection="0"/>
    <xf numFmtId="0" fontId="62" fillId="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62" fillId="6" borderId="0" applyNumberFormat="0" applyBorder="0" applyAlignment="0" applyProtection="0"/>
    <xf numFmtId="0" fontId="62" fillId="44" borderId="0" applyNumberFormat="0" applyBorder="0" applyAlignment="0" applyProtection="0"/>
    <xf numFmtId="0" fontId="8" fillId="45" borderId="0" applyNumberFormat="0" applyBorder="0" applyAlignment="0" applyProtection="0"/>
    <xf numFmtId="0" fontId="8" fillId="7"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62" fillId="58" borderId="0" applyNumberFormat="0" applyBorder="0" applyAlignment="0" applyProtection="0"/>
    <xf numFmtId="0" fontId="97" fillId="0" borderId="0" applyNumberFormat="0" applyFill="0" applyBorder="0" applyAlignment="0" applyProtection="0"/>
    <xf numFmtId="171" fontId="46" fillId="0" borderId="107" applyNumberFormat="0" applyFill="0" applyAlignment="0" applyProtection="0"/>
    <xf numFmtId="171" fontId="19" fillId="28" borderId="100" applyNumberFormat="0" applyAlignment="0" applyProtection="0"/>
    <xf numFmtId="0" fontId="42" fillId="20" borderId="106" applyNumberFormat="0" applyAlignment="0" applyProtection="0"/>
    <xf numFmtId="0" fontId="42" fillId="20" borderId="106" applyNumberFormat="0" applyAlignment="0" applyProtection="0"/>
    <xf numFmtId="171" fontId="42" fillId="20" borderId="106" applyNumberFormat="0" applyAlignment="0" applyProtection="0"/>
    <xf numFmtId="171" fontId="42" fillId="20" borderId="106" applyNumberFormat="0" applyAlignment="0" applyProtection="0"/>
    <xf numFmtId="171" fontId="13" fillId="32" borderId="105" applyNumberFormat="0" applyFont="0" applyAlignment="0" applyProtection="0"/>
    <xf numFmtId="171" fontId="35" fillId="15" borderId="100" applyNumberFormat="0" applyAlignment="0" applyProtection="0"/>
    <xf numFmtId="171" fontId="35" fillId="15" borderId="104" applyNumberFormat="0" applyAlignment="0" applyProtection="0"/>
    <xf numFmtId="171" fontId="13" fillId="32" borderId="101" applyNumberFormat="0" applyFont="0" applyAlignment="0" applyProtection="0"/>
    <xf numFmtId="171" fontId="42" fillId="20" borderId="102" applyNumberFormat="0" applyAlignment="0" applyProtection="0"/>
    <xf numFmtId="171" fontId="42" fillId="20" borderId="102" applyNumberFormat="0" applyAlignment="0" applyProtection="0"/>
    <xf numFmtId="0" fontId="42" fillId="20" borderId="102" applyNumberFormat="0" applyAlignment="0" applyProtection="0"/>
    <xf numFmtId="0" fontId="42" fillId="20" borderId="102" applyNumberFormat="0" applyAlignment="0" applyProtection="0"/>
    <xf numFmtId="171" fontId="19" fillId="28" borderId="104" applyNumberFormat="0" applyAlignment="0" applyProtection="0"/>
    <xf numFmtId="171" fontId="46" fillId="0" borderId="103" applyNumberFormat="0" applyFill="0" applyAlignment="0" applyProtection="0"/>
  </cellStyleXfs>
  <cellXfs count="810">
    <xf numFmtId="0" fontId="0" fillId="0" borderId="0" xfId="0"/>
    <xf numFmtId="0" fontId="1" fillId="0" borderId="0" xfId="0" applyFont="1"/>
    <xf numFmtId="0" fontId="0" fillId="33" borderId="0" xfId="0" applyFill="1"/>
    <xf numFmtId="0" fontId="0" fillId="0" borderId="0" xfId="0"/>
    <xf numFmtId="168" fontId="0" fillId="0" borderId="0" xfId="844" applyNumberFormat="1" applyFont="1"/>
    <xf numFmtId="8" fontId="1" fillId="0" borderId="0" xfId="0" applyNumberFormat="1" applyFont="1"/>
    <xf numFmtId="0" fontId="2" fillId="33" borderId="0" xfId="0" applyFont="1" applyFill="1"/>
    <xf numFmtId="0" fontId="0" fillId="33" borderId="0" xfId="0" applyFill="1" applyBorder="1"/>
    <xf numFmtId="0" fontId="4" fillId="33" borderId="0" xfId="0" applyFont="1" applyFill="1" applyBorder="1"/>
    <xf numFmtId="0" fontId="4" fillId="33" borderId="0" xfId="0" applyFont="1" applyFill="1"/>
    <xf numFmtId="0" fontId="1" fillId="33" borderId="0" xfId="0" applyFont="1" applyFill="1" applyBorder="1"/>
    <xf numFmtId="0" fontId="0" fillId="33" borderId="0" xfId="0" applyFill="1" applyAlignment="1">
      <alignment horizontal="center"/>
    </xf>
    <xf numFmtId="0" fontId="0" fillId="33" borderId="0" xfId="0" applyFill="1" applyBorder="1" applyAlignment="1">
      <alignment horizontal="center" vertical="center"/>
    </xf>
    <xf numFmtId="207" fontId="0" fillId="33" borderId="45" xfId="5" applyNumberFormat="1" applyFont="1" applyFill="1" applyBorder="1"/>
    <xf numFmtId="207" fontId="0" fillId="33" borderId="0" xfId="5" applyNumberFormat="1" applyFont="1" applyFill="1" applyBorder="1"/>
    <xf numFmtId="0" fontId="1" fillId="33" borderId="0" xfId="0" applyFont="1" applyFill="1"/>
    <xf numFmtId="207" fontId="0" fillId="33" borderId="59" xfId="5" applyNumberFormat="1" applyFont="1" applyFill="1" applyBorder="1"/>
    <xf numFmtId="207" fontId="0" fillId="33" borderId="29" xfId="5" applyNumberFormat="1" applyFont="1" applyFill="1" applyBorder="1"/>
    <xf numFmtId="207" fontId="0" fillId="33" borderId="14" xfId="5" applyNumberFormat="1" applyFont="1" applyFill="1" applyBorder="1"/>
    <xf numFmtId="207" fontId="0" fillId="33" borderId="60" xfId="5" applyNumberFormat="1" applyFont="1" applyFill="1" applyBorder="1"/>
    <xf numFmtId="168" fontId="0" fillId="33" borderId="0" xfId="844" applyNumberFormat="1" applyFont="1" applyFill="1" applyBorder="1"/>
    <xf numFmtId="167" fontId="0" fillId="33" borderId="0" xfId="5" applyNumberFormat="1" applyFont="1" applyFill="1" applyBorder="1"/>
    <xf numFmtId="167" fontId="0" fillId="33" borderId="18" xfId="5" applyNumberFormat="1" applyFont="1" applyFill="1" applyBorder="1"/>
    <xf numFmtId="0" fontId="0" fillId="59" borderId="6" xfId="0" applyFill="1" applyBorder="1"/>
    <xf numFmtId="0" fontId="0" fillId="59" borderId="5" xfId="0" applyFill="1" applyBorder="1"/>
    <xf numFmtId="0" fontId="0" fillId="59" borderId="42" xfId="0" applyFill="1" applyBorder="1"/>
    <xf numFmtId="168" fontId="0" fillId="33" borderId="0" xfId="844" applyNumberFormat="1" applyFont="1" applyFill="1" applyBorder="1" applyAlignment="1"/>
    <xf numFmtId="168" fontId="1" fillId="33" borderId="0" xfId="0" applyNumberFormat="1" applyFont="1" applyFill="1" applyBorder="1" applyAlignment="1"/>
    <xf numFmtId="167" fontId="0" fillId="33" borderId="29" xfId="5" applyNumberFormat="1" applyFont="1" applyFill="1" applyBorder="1"/>
    <xf numFmtId="167" fontId="0" fillId="33" borderId="61" xfId="5" applyNumberFormat="1" applyFont="1" applyFill="1" applyBorder="1"/>
    <xf numFmtId="167" fontId="1" fillId="33" borderId="14" xfId="5" applyNumberFormat="1" applyFont="1" applyFill="1" applyBorder="1"/>
    <xf numFmtId="167" fontId="1" fillId="33" borderId="60" xfId="5" applyNumberFormat="1" applyFont="1" applyFill="1" applyBorder="1"/>
    <xf numFmtId="0" fontId="0" fillId="59" borderId="46" xfId="0" applyFill="1" applyBorder="1"/>
    <xf numFmtId="0" fontId="66" fillId="59" borderId="42" xfId="0" applyFont="1" applyFill="1" applyBorder="1"/>
    <xf numFmtId="43" fontId="0" fillId="33" borderId="0" xfId="0" applyNumberFormat="1" applyFill="1" applyBorder="1" applyAlignment="1"/>
    <xf numFmtId="168" fontId="1" fillId="33" borderId="0" xfId="844" applyNumberFormat="1" applyFont="1" applyFill="1" applyBorder="1"/>
    <xf numFmtId="168" fontId="0" fillId="33" borderId="29" xfId="844" applyNumberFormat="1" applyFont="1" applyFill="1" applyBorder="1"/>
    <xf numFmtId="168" fontId="1" fillId="33" borderId="66" xfId="844" applyNumberFormat="1" applyFont="1" applyFill="1" applyBorder="1"/>
    <xf numFmtId="168" fontId="1" fillId="33" borderId="67" xfId="844" applyNumberFormat="1" applyFont="1" applyFill="1" applyBorder="1"/>
    <xf numFmtId="0" fontId="66" fillId="59" borderId="65" xfId="0" applyFont="1" applyFill="1" applyBorder="1"/>
    <xf numFmtId="0" fontId="66" fillId="33" borderId="0" xfId="0" applyFont="1" applyFill="1" applyBorder="1"/>
    <xf numFmtId="0" fontId="64" fillId="62" borderId="48" xfId="0" applyFont="1" applyFill="1" applyBorder="1" applyAlignment="1">
      <alignment horizontal="center" vertical="center"/>
    </xf>
    <xf numFmtId="0" fontId="64" fillId="62" borderId="41" xfId="0" applyFont="1" applyFill="1" applyBorder="1" applyAlignment="1">
      <alignment horizontal="center" vertical="center"/>
    </xf>
    <xf numFmtId="0" fontId="67" fillId="33" borderId="0" xfId="843" applyNumberFormat="1" applyFont="1" applyFill="1"/>
    <xf numFmtId="0" fontId="62" fillId="0" borderId="0" xfId="0" applyFont="1"/>
    <xf numFmtId="40" fontId="62" fillId="33" borderId="0" xfId="0" applyNumberFormat="1" applyFont="1" applyFill="1"/>
    <xf numFmtId="0" fontId="72" fillId="33" borderId="0" xfId="0" applyFont="1" applyFill="1"/>
    <xf numFmtId="0" fontId="73" fillId="33" borderId="0" xfId="0" applyFont="1" applyFill="1"/>
    <xf numFmtId="0" fontId="73" fillId="61" borderId="27" xfId="0" applyFont="1" applyFill="1" applyBorder="1"/>
    <xf numFmtId="8" fontId="73" fillId="33" borderId="28" xfId="0" applyNumberFormat="1" applyFont="1" applyFill="1" applyBorder="1" applyAlignment="1">
      <alignment horizontal="center" vertical="center"/>
    </xf>
    <xf numFmtId="0" fontId="73" fillId="61" borderId="8" xfId="0" applyFont="1" applyFill="1" applyBorder="1"/>
    <xf numFmtId="0" fontId="72" fillId="60" borderId="7" xfId="0" applyFont="1" applyFill="1" applyBorder="1"/>
    <xf numFmtId="0" fontId="72" fillId="60" borderId="4" xfId="0" applyFont="1" applyFill="1" applyBorder="1"/>
    <xf numFmtId="0" fontId="73" fillId="61" borderId="27" xfId="0" applyFont="1" applyFill="1" applyBorder="1" applyAlignment="1">
      <alignment horizontal="left"/>
    </xf>
    <xf numFmtId="0" fontId="73" fillId="61" borderId="8" xfId="0" applyFont="1" applyFill="1" applyBorder="1" applyAlignment="1">
      <alignment horizontal="left"/>
    </xf>
    <xf numFmtId="0" fontId="73" fillId="33" borderId="9" xfId="0" applyFont="1" applyFill="1" applyBorder="1" applyAlignment="1">
      <alignment horizontal="center"/>
    </xf>
    <xf numFmtId="208" fontId="73" fillId="33" borderId="9" xfId="0" applyNumberFormat="1" applyFont="1" applyFill="1" applyBorder="1" applyAlignment="1">
      <alignment horizontal="center"/>
    </xf>
    <xf numFmtId="168" fontId="65" fillId="0" borderId="0" xfId="844" applyNumberFormat="1" applyFont="1"/>
    <xf numFmtId="0" fontId="1" fillId="62" borderId="47" xfId="0" applyFont="1" applyFill="1" applyBorder="1" applyAlignment="1">
      <alignment horizontal="center"/>
    </xf>
    <xf numFmtId="0" fontId="0" fillId="33" borderId="0" xfId="0" applyFill="1" applyAlignment="1">
      <alignment vertical="top" wrapText="1"/>
    </xf>
    <xf numFmtId="8" fontId="73" fillId="33" borderId="0" xfId="0" applyNumberFormat="1" applyFont="1" applyFill="1"/>
    <xf numFmtId="0" fontId="78" fillId="33" borderId="0" xfId="0" applyFont="1" applyFill="1"/>
    <xf numFmtId="0" fontId="72" fillId="60" borderId="4" xfId="0" applyFont="1" applyFill="1" applyBorder="1" applyAlignment="1">
      <alignment horizontal="center" vertical="center"/>
    </xf>
    <xf numFmtId="0" fontId="72" fillId="60" borderId="26" xfId="0" applyFont="1" applyFill="1" applyBorder="1" applyAlignment="1">
      <alignment horizontal="center" vertical="center"/>
    </xf>
    <xf numFmtId="0" fontId="0" fillId="33" borderId="0" xfId="0" applyFont="1" applyFill="1"/>
    <xf numFmtId="0" fontId="0" fillId="33" borderId="0" xfId="0" applyFont="1" applyFill="1" applyBorder="1"/>
    <xf numFmtId="0" fontId="1" fillId="33" borderId="0" xfId="0" applyFont="1" applyFill="1" applyBorder="1" applyAlignment="1">
      <alignment horizontal="center"/>
    </xf>
    <xf numFmtId="0" fontId="64" fillId="33" borderId="0" xfId="0" applyFont="1" applyFill="1"/>
    <xf numFmtId="0" fontId="1" fillId="68" borderId="1" xfId="0" applyFont="1" applyFill="1" applyBorder="1" applyAlignment="1">
      <alignment horizontal="center"/>
    </xf>
    <xf numFmtId="0" fontId="73" fillId="61" borderId="7" xfId="0" applyFont="1" applyFill="1" applyBorder="1"/>
    <xf numFmtId="0" fontId="0" fillId="0" borderId="0" xfId="0" applyFont="1"/>
    <xf numFmtId="0" fontId="0" fillId="0" borderId="0" xfId="0" applyFont="1" applyAlignment="1">
      <alignment horizontal="center"/>
    </xf>
    <xf numFmtId="0" fontId="1" fillId="61" borderId="7" xfId="0" applyFont="1" applyFill="1" applyBorder="1"/>
    <xf numFmtId="9" fontId="0" fillId="0" borderId="26" xfId="0" applyNumberFormat="1" applyFont="1" applyBorder="1" applyAlignment="1">
      <alignment horizontal="center" vertical="center"/>
    </xf>
    <xf numFmtId="0" fontId="1" fillId="61" borderId="8" xfId="0" applyFont="1" applyFill="1" applyBorder="1"/>
    <xf numFmtId="6" fontId="0" fillId="0" borderId="0" xfId="0" applyNumberFormat="1" applyFont="1"/>
    <xf numFmtId="1" fontId="64" fillId="33" borderId="1" xfId="0" applyNumberFormat="1" applyFont="1" applyFill="1" applyBorder="1" applyAlignment="1">
      <alignment horizontal="center" vertical="center"/>
    </xf>
    <xf numFmtId="1" fontId="64" fillId="33" borderId="28" xfId="0" applyNumberFormat="1" applyFont="1" applyFill="1" applyBorder="1" applyAlignment="1">
      <alignment horizontal="center" vertical="center"/>
    </xf>
    <xf numFmtId="1" fontId="67" fillId="33" borderId="1" xfId="843" applyNumberFormat="1" applyFont="1" applyFill="1" applyBorder="1" applyAlignment="1">
      <alignment horizontal="center" vertical="center"/>
    </xf>
    <xf numFmtId="1" fontId="67" fillId="33" borderId="28" xfId="843" applyNumberFormat="1" applyFont="1" applyFill="1" applyBorder="1" applyAlignment="1">
      <alignment horizontal="center" vertical="center"/>
    </xf>
    <xf numFmtId="1" fontId="64" fillId="33" borderId="9" xfId="0" applyNumberFormat="1" applyFont="1" applyFill="1" applyBorder="1" applyAlignment="1">
      <alignment horizontal="center" vertical="center"/>
    </xf>
    <xf numFmtId="1" fontId="67" fillId="33" borderId="9" xfId="843" applyNumberFormat="1" applyFont="1" applyFill="1" applyBorder="1" applyAlignment="1">
      <alignment horizontal="center" vertical="center"/>
    </xf>
    <xf numFmtId="1" fontId="67" fillId="33" borderId="30" xfId="843" applyNumberFormat="1" applyFont="1" applyFill="1" applyBorder="1" applyAlignment="1">
      <alignment horizontal="center" vertical="center"/>
    </xf>
    <xf numFmtId="1" fontId="0" fillId="33" borderId="0" xfId="0" quotePrefix="1" applyNumberFormat="1" applyFont="1" applyFill="1"/>
    <xf numFmtId="8" fontId="0" fillId="0" borderId="0" xfId="0" applyNumberFormat="1" applyFont="1"/>
    <xf numFmtId="0" fontId="0" fillId="0" borderId="0" xfId="0" applyFont="1" applyBorder="1"/>
    <xf numFmtId="0" fontId="0" fillId="0" borderId="0" xfId="0" applyFont="1" applyBorder="1" applyAlignment="1">
      <alignment horizontal="center"/>
    </xf>
    <xf numFmtId="0" fontId="0" fillId="0" borderId="24" xfId="0" applyFont="1" applyBorder="1" applyAlignment="1">
      <alignment horizontal="center"/>
    </xf>
    <xf numFmtId="0" fontId="0" fillId="0" borderId="50" xfId="0" applyFont="1" applyBorder="1" applyAlignment="1">
      <alignment horizontal="center"/>
    </xf>
    <xf numFmtId="0" fontId="0" fillId="0" borderId="24" xfId="0" applyFont="1" applyBorder="1" applyAlignment="1">
      <alignment horizontal="center" vertical="center"/>
    </xf>
    <xf numFmtId="6" fontId="0" fillId="0" borderId="0" xfId="0" applyNumberFormat="1" applyFont="1" applyBorder="1"/>
    <xf numFmtId="0" fontId="0" fillId="33" borderId="23" xfId="0" applyFont="1" applyFill="1" applyBorder="1" applyAlignment="1">
      <alignment horizontal="center" vertical="center"/>
    </xf>
    <xf numFmtId="6" fontId="0" fillId="33" borderId="0" xfId="0" applyNumberFormat="1" applyFont="1" applyFill="1"/>
    <xf numFmtId="0" fontId="0" fillId="0" borderId="25" xfId="0" applyFont="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Font="1" applyFill="1" applyBorder="1"/>
    <xf numFmtId="0" fontId="0" fillId="0" borderId="0" xfId="0" applyFont="1" applyFill="1"/>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6" fontId="0" fillId="0" borderId="0" xfId="0" applyNumberFormat="1" applyFont="1" applyFill="1"/>
    <xf numFmtId="8" fontId="0" fillId="0" borderId="0" xfId="0" applyNumberFormat="1" applyFont="1" applyFill="1" applyBorder="1"/>
    <xf numFmtId="6" fontId="0" fillId="0" borderId="0" xfId="0" applyNumberFormat="1" applyFont="1" applyFill="1" applyBorder="1" applyAlignment="1">
      <alignment horizontal="center" vertical="center"/>
    </xf>
    <xf numFmtId="6" fontId="1" fillId="0" borderId="0" xfId="0" applyNumberFormat="1" applyFont="1" applyFill="1"/>
    <xf numFmtId="165" fontId="0" fillId="0" borderId="0" xfId="0" applyNumberFormat="1" applyFont="1" applyFill="1" applyBorder="1" applyAlignment="1">
      <alignment horizontal="center"/>
    </xf>
    <xf numFmtId="167" fontId="0" fillId="0" borderId="0" xfId="0" applyNumberFormat="1" applyFont="1" applyBorder="1"/>
    <xf numFmtId="2" fontId="0" fillId="0" borderId="0" xfId="0" applyNumberFormat="1" applyFont="1" applyFill="1"/>
    <xf numFmtId="166" fontId="0" fillId="0" borderId="0" xfId="0" applyNumberFormat="1" applyFont="1" applyFill="1" applyBorder="1" applyAlignment="1">
      <alignment horizontal="center"/>
    </xf>
    <xf numFmtId="169" fontId="0" fillId="33" borderId="0" xfId="0" applyNumberFormat="1" applyFont="1" applyFill="1" applyBorder="1" applyAlignment="1">
      <alignment horizontal="center"/>
    </xf>
    <xf numFmtId="8" fontId="0" fillId="33" borderId="0" xfId="0" applyNumberFormat="1" applyFont="1" applyFill="1" applyBorder="1"/>
    <xf numFmtId="6" fontId="0" fillId="33" borderId="0" xfId="0" applyNumberFormat="1" applyFont="1" applyFill="1" applyBorder="1"/>
    <xf numFmtId="6" fontId="1" fillId="0" borderId="0" xfId="0" applyNumberFormat="1" applyFont="1" applyFill="1" applyBorder="1"/>
    <xf numFmtId="8" fontId="0" fillId="0" borderId="0" xfId="0" applyNumberFormat="1" applyFont="1" applyBorder="1"/>
    <xf numFmtId="9" fontId="0" fillId="0" borderId="0" xfId="6" applyFont="1" applyBorder="1"/>
    <xf numFmtId="10" fontId="0" fillId="0" borderId="0" xfId="6"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33" borderId="0" xfId="0" applyFont="1" applyFill="1" applyBorder="1" applyAlignment="1">
      <alignment horizontal="center"/>
    </xf>
    <xf numFmtId="2" fontId="1" fillId="33" borderId="0" xfId="0" applyNumberFormat="1" applyFont="1" applyFill="1" applyBorder="1" applyAlignment="1">
      <alignment horizontal="center" vertical="center"/>
    </xf>
    <xf numFmtId="0" fontId="64" fillId="65" borderId="4" xfId="0" applyFont="1" applyFill="1" applyBorder="1" applyAlignment="1">
      <alignment horizontal="center"/>
    </xf>
    <xf numFmtId="0" fontId="67" fillId="65" borderId="4" xfId="843" applyNumberFormat="1" applyFont="1" applyFill="1" applyBorder="1" applyAlignment="1">
      <alignment horizontal="center"/>
    </xf>
    <xf numFmtId="0" fontId="64" fillId="65" borderId="26" xfId="0" applyFont="1" applyFill="1" applyBorder="1" applyAlignment="1">
      <alignment horizontal="center"/>
    </xf>
    <xf numFmtId="0" fontId="64" fillId="65" borderId="1" xfId="0" applyFont="1" applyFill="1" applyBorder="1" applyAlignment="1">
      <alignment horizontal="center" vertical="center"/>
    </xf>
    <xf numFmtId="0" fontId="67" fillId="65" borderId="1" xfId="843" applyNumberFormat="1" applyFont="1" applyFill="1" applyBorder="1" applyAlignment="1">
      <alignment horizontal="center" vertical="center"/>
    </xf>
    <xf numFmtId="0" fontId="64" fillId="65" borderId="28" xfId="0" applyFont="1" applyFill="1" applyBorder="1" applyAlignment="1">
      <alignment horizontal="center" vertical="center"/>
    </xf>
    <xf numFmtId="0" fontId="0" fillId="65" borderId="4" xfId="0" applyFont="1" applyFill="1" applyBorder="1" applyAlignment="1">
      <alignment horizontal="center"/>
    </xf>
    <xf numFmtId="0" fontId="0" fillId="65" borderId="56" xfId="0" applyFont="1" applyFill="1" applyBorder="1" applyAlignment="1">
      <alignment horizontal="center"/>
    </xf>
    <xf numFmtId="0" fontId="0" fillId="65" borderId="57" xfId="0" applyFont="1" applyFill="1" applyBorder="1" applyAlignment="1">
      <alignment horizontal="center"/>
    </xf>
    <xf numFmtId="0" fontId="0" fillId="61" borderId="2" xfId="0" applyFont="1" applyFill="1" applyBorder="1"/>
    <xf numFmtId="0" fontId="0" fillId="61" borderId="3" xfId="0" applyFont="1" applyFill="1" applyBorder="1"/>
    <xf numFmtId="0" fontId="0" fillId="61" borderId="5" xfId="0" applyFont="1" applyFill="1" applyBorder="1"/>
    <xf numFmtId="0" fontId="0" fillId="61" borderId="0" xfId="0" applyFont="1" applyFill="1" applyBorder="1"/>
    <xf numFmtId="0" fontId="1" fillId="61" borderId="5" xfId="0" applyFont="1" applyFill="1" applyBorder="1"/>
    <xf numFmtId="0" fontId="0" fillId="61" borderId="6" xfId="0" applyFont="1" applyFill="1" applyBorder="1"/>
    <xf numFmtId="0" fontId="0" fillId="61" borderId="45" xfId="0" applyFont="1" applyFill="1" applyBorder="1"/>
    <xf numFmtId="0" fontId="0" fillId="61" borderId="5" xfId="0" applyFont="1" applyFill="1" applyBorder="1" applyAlignment="1">
      <alignment horizontal="left" indent="1"/>
    </xf>
    <xf numFmtId="0" fontId="0" fillId="61" borderId="46" xfId="0" applyFont="1" applyFill="1" applyBorder="1" applyAlignment="1">
      <alignment horizontal="left" indent="1"/>
    </xf>
    <xf numFmtId="0" fontId="0" fillId="61" borderId="18" xfId="0" applyFont="1" applyFill="1" applyBorder="1"/>
    <xf numFmtId="0" fontId="0" fillId="61" borderId="5" xfId="0" applyFont="1" applyFill="1" applyBorder="1" applyAlignment="1">
      <alignment horizontal="left"/>
    </xf>
    <xf numFmtId="0" fontId="64" fillId="61" borderId="5" xfId="0" applyFont="1" applyFill="1" applyBorder="1" applyAlignment="1">
      <alignment horizontal="left" indent="1"/>
    </xf>
    <xf numFmtId="0" fontId="64" fillId="61" borderId="46" xfId="0" applyFont="1" applyFill="1" applyBorder="1" applyAlignment="1">
      <alignment horizontal="left" indent="1"/>
    </xf>
    <xf numFmtId="0" fontId="0" fillId="61" borderId="5" xfId="0" applyFont="1" applyFill="1" applyBorder="1" applyAlignment="1">
      <alignment vertical="center"/>
    </xf>
    <xf numFmtId="0" fontId="0" fillId="61" borderId="42" xfId="0" applyFont="1" applyFill="1" applyBorder="1"/>
    <xf numFmtId="0" fontId="0" fillId="61" borderId="14" xfId="0" applyFont="1" applyFill="1" applyBorder="1"/>
    <xf numFmtId="0" fontId="1" fillId="61" borderId="2" xfId="0" applyFont="1" applyFill="1" applyBorder="1"/>
    <xf numFmtId="0" fontId="1" fillId="61" borderId="42" xfId="0" applyFont="1" applyFill="1" applyBorder="1"/>
    <xf numFmtId="0" fontId="1" fillId="61" borderId="40" xfId="0" applyFont="1" applyFill="1" applyBorder="1"/>
    <xf numFmtId="0" fontId="0" fillId="61" borderId="48" xfId="0" applyFont="1" applyFill="1" applyBorder="1"/>
    <xf numFmtId="0" fontId="1" fillId="67" borderId="1" xfId="0" applyFont="1" applyFill="1" applyBorder="1" applyAlignment="1">
      <alignment horizontal="center"/>
    </xf>
    <xf numFmtId="0" fontId="1" fillId="65" borderId="85" xfId="0" applyFont="1" applyFill="1" applyBorder="1" applyAlignment="1">
      <alignment horizontal="center"/>
    </xf>
    <xf numFmtId="0" fontId="1" fillId="65" borderId="1" xfId="0" applyFont="1" applyFill="1" applyBorder="1" applyAlignment="1">
      <alignment horizontal="center"/>
    </xf>
    <xf numFmtId="0" fontId="0" fillId="65" borderId="47" xfId="0" applyFont="1" applyFill="1" applyBorder="1" applyAlignment="1">
      <alignment horizontal="center"/>
    </xf>
    <xf numFmtId="0" fontId="0" fillId="65" borderId="64" xfId="0" applyFont="1" applyFill="1" applyBorder="1" applyAlignment="1">
      <alignment horizontal="center"/>
    </xf>
    <xf numFmtId="0" fontId="1" fillId="65" borderId="4" xfId="0" applyFont="1" applyFill="1" applyBorder="1" applyAlignment="1">
      <alignment horizontal="center"/>
    </xf>
    <xf numFmtId="0" fontId="1" fillId="67" borderId="1" xfId="0" applyFont="1" applyFill="1" applyBorder="1" applyAlignment="1">
      <alignment horizontal="center" vertical="center"/>
    </xf>
    <xf numFmtId="0" fontId="0" fillId="67" borderId="1" xfId="0" applyFont="1" applyFill="1" applyBorder="1" applyAlignment="1">
      <alignment horizontal="center"/>
    </xf>
    <xf numFmtId="6" fontId="1" fillId="67" borderId="1" xfId="0" applyNumberFormat="1" applyFont="1" applyFill="1" applyBorder="1" applyAlignment="1">
      <alignment horizontal="center" vertical="center"/>
    </xf>
    <xf numFmtId="9" fontId="1" fillId="67" borderId="1" xfId="0" applyNumberFormat="1" applyFont="1" applyFill="1" applyBorder="1" applyAlignment="1">
      <alignment horizontal="center" vertical="center"/>
    </xf>
    <xf numFmtId="10" fontId="1" fillId="67" borderId="1" xfId="0" applyNumberFormat="1" applyFont="1" applyFill="1" applyBorder="1" applyAlignment="1">
      <alignment horizontal="center" vertical="center"/>
    </xf>
    <xf numFmtId="2" fontId="1" fillId="67" borderId="1" xfId="0" applyNumberFormat="1" applyFont="1" applyFill="1" applyBorder="1" applyAlignment="1">
      <alignment horizontal="center" vertical="center"/>
    </xf>
    <xf numFmtId="8" fontId="1" fillId="67" borderId="1" xfId="0" applyNumberFormat="1" applyFont="1" applyFill="1" applyBorder="1" applyAlignment="1">
      <alignment horizontal="center" vertical="center"/>
    </xf>
    <xf numFmtId="0" fontId="0" fillId="61" borderId="46" xfId="0" applyFont="1" applyFill="1" applyBorder="1"/>
    <xf numFmtId="8" fontId="87" fillId="33" borderId="30" xfId="0" applyNumberFormat="1" applyFont="1" applyFill="1" applyBorder="1" applyAlignment="1">
      <alignment horizontal="center" vertical="center"/>
    </xf>
    <xf numFmtId="0" fontId="0" fillId="0" borderId="29" xfId="0" applyFont="1" applyBorder="1" applyAlignment="1">
      <alignment horizontal="center"/>
    </xf>
    <xf numFmtId="0" fontId="0" fillId="65" borderId="28" xfId="0" applyFont="1" applyFill="1" applyBorder="1" applyAlignment="1">
      <alignment horizontal="center"/>
    </xf>
    <xf numFmtId="6" fontId="0" fillId="0" borderId="0" xfId="0" applyNumberFormat="1" applyFont="1" applyBorder="1" applyAlignment="1">
      <alignment horizontal="center" vertical="center"/>
    </xf>
    <xf numFmtId="6" fontId="0" fillId="0" borderId="0" xfId="0" applyNumberFormat="1" applyFont="1" applyBorder="1" applyAlignment="1">
      <alignment horizontal="center"/>
    </xf>
    <xf numFmtId="6" fontId="0" fillId="33" borderId="45" xfId="0" applyNumberFormat="1" applyFont="1" applyFill="1" applyBorder="1" applyAlignment="1">
      <alignment horizontal="center" vertical="center"/>
    </xf>
    <xf numFmtId="0" fontId="0" fillId="0" borderId="0" xfId="0" applyFont="1" applyBorder="1" applyAlignment="1">
      <alignment horizontal="center" vertical="center"/>
    </xf>
    <xf numFmtId="9" fontId="0" fillId="0" borderId="0" xfId="0" applyNumberFormat="1" applyFont="1" applyBorder="1" applyAlignment="1">
      <alignment horizontal="center" vertical="center"/>
    </xf>
    <xf numFmtId="9" fontId="0" fillId="0" borderId="24" xfId="0" applyNumberFormat="1" applyFont="1" applyBorder="1" applyAlignment="1">
      <alignment horizontal="center" vertical="center"/>
    </xf>
    <xf numFmtId="8" fontId="0" fillId="0" borderId="0" xfId="0" applyNumberFormat="1" applyFont="1" applyBorder="1" applyAlignment="1">
      <alignment horizontal="center" vertical="center"/>
    </xf>
    <xf numFmtId="6" fontId="0" fillId="0" borderId="3" xfId="0" applyNumberFormat="1" applyFont="1" applyBorder="1" applyAlignment="1">
      <alignment horizontal="center" vertical="center"/>
    </xf>
    <xf numFmtId="6" fontId="0" fillId="0" borderId="24" xfId="0" applyNumberFormat="1" applyFont="1" applyBorder="1" applyAlignment="1">
      <alignment horizontal="center" vertical="center"/>
    </xf>
    <xf numFmtId="6" fontId="0" fillId="0" borderId="24" xfId="0" applyNumberFormat="1" applyFont="1" applyBorder="1" applyAlignment="1">
      <alignment horizontal="center"/>
    </xf>
    <xf numFmtId="6" fontId="0" fillId="0" borderId="24" xfId="0" applyNumberFormat="1" applyFont="1" applyFill="1" applyBorder="1" applyAlignment="1">
      <alignment horizontal="center" vertical="center"/>
    </xf>
    <xf numFmtId="6" fontId="0" fillId="0" borderId="44" xfId="0" applyNumberFormat="1" applyFont="1" applyBorder="1" applyAlignment="1">
      <alignment horizontal="center" vertical="center"/>
    </xf>
    <xf numFmtId="6" fontId="0" fillId="0" borderId="50" xfId="0" applyNumberFormat="1" applyFont="1" applyBorder="1" applyAlignment="1">
      <alignment horizontal="center" vertical="center"/>
    </xf>
    <xf numFmtId="6" fontId="0" fillId="0" borderId="50" xfId="0" applyNumberFormat="1" applyFont="1" applyBorder="1" applyAlignment="1">
      <alignment horizontal="center"/>
    </xf>
    <xf numFmtId="6" fontId="0" fillId="33" borderId="51" xfId="0" applyNumberFormat="1" applyFont="1" applyFill="1" applyBorder="1" applyAlignment="1">
      <alignment horizontal="center" vertical="center"/>
    </xf>
    <xf numFmtId="9" fontId="0" fillId="0" borderId="50" xfId="0" applyNumberFormat="1" applyFont="1" applyBorder="1" applyAlignment="1">
      <alignment horizontal="center" vertical="center"/>
    </xf>
    <xf numFmtId="8" fontId="0" fillId="0" borderId="18" xfId="5" applyNumberFormat="1" applyFont="1" applyBorder="1" applyAlignment="1">
      <alignment horizontal="center" vertical="center"/>
    </xf>
    <xf numFmtId="8" fontId="0" fillId="0" borderId="25" xfId="5" applyNumberFormat="1" applyFont="1" applyBorder="1" applyAlignment="1">
      <alignment horizontal="center" vertical="center"/>
    </xf>
    <xf numFmtId="9" fontId="0" fillId="0" borderId="52" xfId="0" applyNumberFormat="1" applyFont="1" applyBorder="1" applyAlignment="1">
      <alignment horizontal="center" vertical="center"/>
    </xf>
    <xf numFmtId="8" fontId="0" fillId="0" borderId="24" xfId="0" applyNumberFormat="1" applyFont="1" applyBorder="1" applyAlignment="1">
      <alignment horizontal="center" vertical="center"/>
    </xf>
    <xf numFmtId="6" fontId="0" fillId="0" borderId="50" xfId="0" applyNumberFormat="1" applyFont="1" applyFill="1" applyBorder="1" applyAlignment="1">
      <alignment horizontal="center" vertical="center"/>
    </xf>
    <xf numFmtId="6" fontId="0" fillId="0" borderId="45" xfId="0" applyNumberFormat="1" applyFont="1" applyFill="1" applyBorder="1" applyAlignment="1">
      <alignment horizontal="center" vertical="center"/>
    </xf>
    <xf numFmtId="6" fontId="0" fillId="0" borderId="51" xfId="0" applyNumberFormat="1" applyFont="1" applyFill="1" applyBorder="1" applyAlignment="1">
      <alignment horizontal="center" vertical="center"/>
    </xf>
    <xf numFmtId="166" fontId="0" fillId="0" borderId="50" xfId="0" applyNumberFormat="1" applyFont="1" applyBorder="1" applyAlignment="1">
      <alignment horizontal="center" vertical="center"/>
    </xf>
    <xf numFmtId="6" fontId="0" fillId="33" borderId="0" xfId="0" applyNumberFormat="1" applyFont="1" applyFill="1" applyAlignment="1">
      <alignment horizontal="center"/>
    </xf>
    <xf numFmtId="6" fontId="0" fillId="33" borderId="24" xfId="0" applyNumberFormat="1" applyFont="1" applyFill="1" applyBorder="1" applyAlignment="1">
      <alignment horizontal="center"/>
    </xf>
    <xf numFmtId="166" fontId="0" fillId="33" borderId="50" xfId="0" applyNumberFormat="1" applyFont="1" applyFill="1" applyBorder="1" applyAlignment="1">
      <alignment horizontal="center" vertical="center"/>
    </xf>
    <xf numFmtId="6" fontId="0" fillId="0" borderId="45" xfId="0" applyNumberFormat="1" applyFont="1" applyBorder="1" applyAlignment="1">
      <alignment horizontal="center" vertical="center"/>
    </xf>
    <xf numFmtId="6" fontId="0" fillId="0" borderId="51" xfId="0" applyNumberFormat="1" applyFont="1" applyBorder="1" applyAlignment="1">
      <alignment horizontal="center" vertical="center"/>
    </xf>
    <xf numFmtId="6" fontId="0" fillId="33" borderId="0" xfId="0" applyNumberFormat="1" applyFont="1" applyFill="1" applyBorder="1" applyAlignment="1">
      <alignment horizontal="center" vertical="center"/>
    </xf>
    <xf numFmtId="6" fontId="0" fillId="33" borderId="50" xfId="0" applyNumberFormat="1" applyFont="1" applyFill="1" applyBorder="1" applyAlignment="1">
      <alignment horizontal="center" vertical="center"/>
    </xf>
    <xf numFmtId="6" fontId="0" fillId="33" borderId="18" xfId="0" applyNumberFormat="1" applyFont="1" applyFill="1" applyBorder="1" applyAlignment="1">
      <alignment horizontal="center" vertical="center"/>
    </xf>
    <xf numFmtId="6" fontId="0" fillId="33" borderId="25" xfId="0" applyNumberFormat="1" applyFont="1" applyFill="1" applyBorder="1" applyAlignment="1">
      <alignment horizontal="center" vertical="center"/>
    </xf>
    <xf numFmtId="6" fontId="0" fillId="33" borderId="52" xfId="0" applyNumberFormat="1" applyFont="1" applyFill="1" applyBorder="1" applyAlignment="1">
      <alignment horizontal="center" vertical="center"/>
    </xf>
    <xf numFmtId="0" fontId="0" fillId="0" borderId="50" xfId="0" applyFont="1" applyBorder="1" applyAlignment="1">
      <alignment horizontal="center" vertical="center"/>
    </xf>
    <xf numFmtId="166" fontId="0" fillId="0" borderId="0" xfId="0" applyNumberFormat="1" applyFont="1" applyFill="1" applyBorder="1" applyAlignment="1">
      <alignment horizontal="center" vertical="center"/>
    </xf>
    <xf numFmtId="166" fontId="0" fillId="0" borderId="24" xfId="0" applyNumberFormat="1" applyFont="1" applyFill="1" applyBorder="1" applyAlignment="1">
      <alignment horizontal="center" vertical="center"/>
    </xf>
    <xf numFmtId="166" fontId="0" fillId="0" borderId="50" xfId="0" applyNumberFormat="1" applyFont="1" applyFill="1" applyBorder="1" applyAlignment="1">
      <alignment horizontal="center" vertical="center"/>
    </xf>
    <xf numFmtId="166" fontId="0" fillId="0" borderId="84" xfId="5" applyNumberFormat="1" applyFont="1" applyFill="1" applyBorder="1" applyAlignment="1">
      <alignment horizontal="center" vertical="center"/>
    </xf>
    <xf numFmtId="6" fontId="0" fillId="0" borderId="18" xfId="0" applyNumberFormat="1" applyFont="1" applyBorder="1" applyAlignment="1">
      <alignment horizontal="center" vertical="center"/>
    </xf>
    <xf numFmtId="6" fontId="0" fillId="0" borderId="25" xfId="0" applyNumberFormat="1" applyFont="1" applyBorder="1" applyAlignment="1">
      <alignment horizontal="center" vertical="center"/>
    </xf>
    <xf numFmtId="0" fontId="0" fillId="0" borderId="52" xfId="0" applyFont="1" applyBorder="1" applyAlignment="1">
      <alignment horizontal="center" vertical="center"/>
    </xf>
    <xf numFmtId="166" fontId="0" fillId="0" borderId="0" xfId="5" applyNumberFormat="1" applyFont="1" applyFill="1" applyBorder="1" applyAlignment="1">
      <alignment horizontal="center" vertical="center"/>
    </xf>
    <xf numFmtId="166" fontId="0" fillId="0" borderId="24" xfId="5" applyNumberFormat="1" applyFont="1" applyFill="1" applyBorder="1" applyAlignment="1">
      <alignment horizontal="center" vertical="center"/>
    </xf>
    <xf numFmtId="0" fontId="0" fillId="0" borderId="14" xfId="0" applyFont="1" applyBorder="1" applyAlignment="1">
      <alignment horizontal="center" vertical="center"/>
    </xf>
    <xf numFmtId="6" fontId="0" fillId="0" borderId="14" xfId="0" applyNumberFormat="1" applyFont="1" applyBorder="1" applyAlignment="1">
      <alignment horizontal="center" vertical="center"/>
    </xf>
    <xf numFmtId="6" fontId="0" fillId="0" borderId="43" xfId="0" applyNumberFormat="1" applyFont="1" applyBorder="1" applyAlignment="1">
      <alignment horizontal="center" vertical="center"/>
    </xf>
    <xf numFmtId="6" fontId="0" fillId="0" borderId="53" xfId="0" applyNumberFormat="1" applyFont="1" applyBorder="1" applyAlignment="1">
      <alignment horizontal="center" vertical="center"/>
    </xf>
    <xf numFmtId="6" fontId="0" fillId="0" borderId="54" xfId="0" applyNumberFormat="1" applyFont="1" applyBorder="1" applyAlignment="1">
      <alignment horizontal="center" vertical="center"/>
    </xf>
    <xf numFmtId="2" fontId="0" fillId="0" borderId="48" xfId="0" applyNumberFormat="1" applyFont="1" applyBorder="1" applyAlignment="1">
      <alignment horizontal="center" vertical="center"/>
    </xf>
    <xf numFmtId="2" fontId="0" fillId="0" borderId="55" xfId="0" applyNumberFormat="1" applyFont="1" applyBorder="1" applyAlignment="1">
      <alignment horizontal="center" vertical="center"/>
    </xf>
    <xf numFmtId="2" fontId="0" fillId="0" borderId="49" xfId="0" applyNumberFormat="1" applyFont="1" applyBorder="1" applyAlignment="1">
      <alignment horizontal="center" vertical="center"/>
    </xf>
    <xf numFmtId="8" fontId="0" fillId="0" borderId="18" xfId="0" applyNumberFormat="1" applyFont="1" applyBorder="1" applyAlignment="1">
      <alignment horizontal="center"/>
    </xf>
    <xf numFmtId="8" fontId="0" fillId="0" borderId="87" xfId="0" applyNumberFormat="1" applyFont="1" applyBorder="1" applyAlignment="1">
      <alignment horizontal="center"/>
    </xf>
    <xf numFmtId="8" fontId="0" fillId="0" borderId="29" xfId="0" applyNumberFormat="1" applyFont="1" applyBorder="1" applyAlignment="1">
      <alignment horizontal="center"/>
    </xf>
    <xf numFmtId="8" fontId="0" fillId="0" borderId="18" xfId="0" applyNumberFormat="1" applyFont="1" applyBorder="1" applyAlignment="1">
      <alignment horizontal="center" vertical="center"/>
    </xf>
    <xf numFmtId="8" fontId="0" fillId="0" borderId="25" xfId="0" applyNumberFormat="1" applyFont="1" applyBorder="1" applyAlignment="1">
      <alignment horizontal="center" vertical="center"/>
    </xf>
    <xf numFmtId="8" fontId="0" fillId="33" borderId="0" xfId="0" applyNumberFormat="1" applyFont="1" applyFill="1" applyBorder="1" applyAlignment="1">
      <alignment horizontal="center" vertical="center"/>
    </xf>
    <xf numFmtId="8" fontId="0" fillId="33" borderId="24" xfId="0" applyNumberFormat="1" applyFont="1" applyFill="1" applyBorder="1" applyAlignment="1">
      <alignment horizontal="center" vertical="center"/>
    </xf>
    <xf numFmtId="8" fontId="0" fillId="0" borderId="45" xfId="0" applyNumberFormat="1" applyFont="1" applyBorder="1" applyAlignment="1">
      <alignment horizontal="center" vertical="center"/>
    </xf>
    <xf numFmtId="8" fontId="0" fillId="0" borderId="23" xfId="0" applyNumberFormat="1" applyFont="1" applyBorder="1" applyAlignment="1">
      <alignment horizontal="center" vertical="center"/>
    </xf>
    <xf numFmtId="8" fontId="0" fillId="0" borderId="72" xfId="0" applyNumberFormat="1" applyFont="1" applyBorder="1" applyAlignment="1">
      <alignment horizontal="center"/>
    </xf>
    <xf numFmtId="8" fontId="0" fillId="0" borderId="3" xfId="0" applyNumberFormat="1" applyFont="1" applyBorder="1" applyAlignment="1">
      <alignment horizontal="center" vertical="center"/>
    </xf>
    <xf numFmtId="8" fontId="0" fillId="0" borderId="44" xfId="0" applyNumberFormat="1" applyFont="1" applyBorder="1" applyAlignment="1">
      <alignment horizontal="center" vertical="center"/>
    </xf>
    <xf numFmtId="8" fontId="0" fillId="0" borderId="14" xfId="0" applyNumberFormat="1" applyFont="1" applyBorder="1" applyAlignment="1">
      <alignment horizontal="center" vertical="center"/>
    </xf>
    <xf numFmtId="8" fontId="0" fillId="0" borderId="43" xfId="0" applyNumberFormat="1" applyFont="1" applyBorder="1" applyAlignment="1">
      <alignment horizontal="center" vertical="center"/>
    </xf>
    <xf numFmtId="8" fontId="0" fillId="0" borderId="60"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0" fillId="0" borderId="43" xfId="0" applyNumberFormat="1" applyFont="1" applyBorder="1" applyAlignment="1">
      <alignment horizontal="center" vertical="center"/>
    </xf>
    <xf numFmtId="0" fontId="0" fillId="33" borderId="0" xfId="0" applyFill="1" applyBorder="1" applyAlignment="1">
      <alignment horizontal="center"/>
    </xf>
    <xf numFmtId="207" fontId="0" fillId="61" borderId="24" xfId="5" applyNumberFormat="1" applyFont="1" applyFill="1" applyBorder="1" applyAlignment="1">
      <alignment horizontal="center"/>
    </xf>
    <xf numFmtId="207" fontId="0" fillId="61" borderId="43" xfId="5" applyNumberFormat="1" applyFont="1" applyFill="1" applyBorder="1" applyAlignment="1">
      <alignment horizontal="center"/>
    </xf>
    <xf numFmtId="207" fontId="0" fillId="33" borderId="0" xfId="5" applyNumberFormat="1" applyFont="1" applyFill="1" applyBorder="1" applyAlignment="1">
      <alignment horizontal="center"/>
    </xf>
    <xf numFmtId="168" fontId="64" fillId="61" borderId="24" xfId="844" applyNumberFormat="1" applyFont="1" applyFill="1" applyBorder="1" applyAlignment="1">
      <alignment horizontal="center"/>
    </xf>
    <xf numFmtId="168" fontId="1" fillId="61" borderId="68" xfId="0" applyNumberFormat="1" applyFont="1" applyFill="1" applyBorder="1" applyAlignment="1">
      <alignment horizontal="center"/>
    </xf>
    <xf numFmtId="168" fontId="1" fillId="33" borderId="0" xfId="0" applyNumberFormat="1" applyFont="1" applyFill="1" applyBorder="1" applyAlignment="1">
      <alignment horizontal="center"/>
    </xf>
    <xf numFmtId="168" fontId="64" fillId="61" borderId="25" xfId="844" applyNumberFormat="1" applyFont="1" applyFill="1" applyBorder="1" applyAlignment="1">
      <alignment horizontal="center"/>
    </xf>
    <xf numFmtId="168" fontId="1" fillId="61" borderId="43" xfId="0" applyNumberFormat="1" applyFont="1" applyFill="1" applyBorder="1" applyAlignment="1">
      <alignment horizontal="center"/>
    </xf>
    <xf numFmtId="0" fontId="88" fillId="33" borderId="0" xfId="0" applyFont="1" applyFill="1"/>
    <xf numFmtId="0" fontId="89" fillId="33" borderId="18" xfId="0" applyFont="1" applyFill="1" applyBorder="1"/>
    <xf numFmtId="8" fontId="1" fillId="67" borderId="1" xfId="0" applyNumberFormat="1" applyFont="1" applyFill="1" applyBorder="1" applyAlignment="1">
      <alignment horizontal="center"/>
    </xf>
    <xf numFmtId="10" fontId="1" fillId="67" borderId="1" xfId="0" applyNumberFormat="1" applyFont="1" applyFill="1" applyBorder="1" applyAlignment="1">
      <alignment horizontal="center"/>
    </xf>
    <xf numFmtId="7" fontId="0" fillId="0" borderId="30" xfId="0" applyNumberFormat="1" applyFont="1" applyBorder="1" applyAlignment="1">
      <alignment horizontal="center" vertical="center"/>
    </xf>
    <xf numFmtId="0" fontId="0" fillId="61" borderId="5" xfId="0" applyFont="1" applyFill="1" applyBorder="1" applyAlignment="1">
      <alignment horizontal="left" vertical="center" indent="1"/>
    </xf>
    <xf numFmtId="6" fontId="0" fillId="33" borderId="24" xfId="0" applyNumberFormat="1" applyFont="1" applyFill="1" applyBorder="1" applyAlignment="1">
      <alignment horizontal="center" vertical="center"/>
    </xf>
    <xf numFmtId="0" fontId="0" fillId="33" borderId="0" xfId="0" applyFill="1" applyAlignment="1">
      <alignment horizontal="left" vertical="top"/>
    </xf>
    <xf numFmtId="0" fontId="70" fillId="33" borderId="0" xfId="0" applyFont="1" applyFill="1" applyAlignment="1">
      <alignment horizontal="left" vertical="top"/>
    </xf>
    <xf numFmtId="0" fontId="95" fillId="33" borderId="0" xfId="0" applyFont="1" applyFill="1" applyAlignment="1">
      <alignment horizontal="left" vertical="top"/>
    </xf>
    <xf numFmtId="0" fontId="96" fillId="33" borderId="0" xfId="0" applyFont="1" applyFill="1" applyAlignment="1">
      <alignment horizontal="left" vertical="top"/>
    </xf>
    <xf numFmtId="0" fontId="97" fillId="33" borderId="0" xfId="886" applyFill="1" applyAlignment="1">
      <alignment horizontal="left" vertical="top"/>
    </xf>
    <xf numFmtId="0" fontId="0" fillId="33" borderId="0" xfId="0" applyFill="1"/>
    <xf numFmtId="164" fontId="65" fillId="33" borderId="28" xfId="0" applyNumberFormat="1" applyFont="1" applyFill="1" applyBorder="1" applyAlignment="1" applyProtection="1">
      <alignment horizontal="center" vertical="center"/>
      <protection locked="0"/>
    </xf>
    <xf numFmtId="8" fontId="65" fillId="33" borderId="28" xfId="0" applyNumberFormat="1" applyFont="1" applyFill="1" applyBorder="1" applyAlignment="1" applyProtection="1">
      <alignment horizontal="center"/>
      <protection locked="0"/>
    </xf>
    <xf numFmtId="2" fontId="65" fillId="33" borderId="28" xfId="0" applyNumberFormat="1" applyFont="1" applyFill="1" applyBorder="1" applyAlignment="1" applyProtection="1">
      <alignment horizontal="center" vertical="center"/>
      <protection locked="0"/>
    </xf>
    <xf numFmtId="10" fontId="65" fillId="33" borderId="28" xfId="0" applyNumberFormat="1" applyFont="1" applyFill="1" applyBorder="1" applyAlignment="1" applyProtection="1">
      <alignment horizontal="center" vertical="center"/>
      <protection locked="0"/>
    </xf>
    <xf numFmtId="8" fontId="65" fillId="33" borderId="30" xfId="0" applyNumberFormat="1" applyFont="1" applyFill="1" applyBorder="1" applyAlignment="1" applyProtection="1">
      <alignment horizontal="center"/>
      <protection locked="0"/>
    </xf>
    <xf numFmtId="9" fontId="65" fillId="33" borderId="28" xfId="6" applyFont="1" applyFill="1" applyBorder="1" applyAlignment="1" applyProtection="1">
      <alignment horizontal="center"/>
      <protection locked="0"/>
    </xf>
    <xf numFmtId="210" fontId="69" fillId="33" borderId="28" xfId="843" applyNumberFormat="1" applyFont="1" applyFill="1" applyBorder="1" applyAlignment="1" applyProtection="1">
      <alignment horizontal="center"/>
      <protection locked="0"/>
    </xf>
    <xf numFmtId="10" fontId="65" fillId="33" borderId="28" xfId="6" applyNumberFormat="1" applyFont="1" applyFill="1" applyBorder="1" applyAlignment="1" applyProtection="1">
      <alignment horizontal="center" vertical="center"/>
      <protection locked="0"/>
    </xf>
    <xf numFmtId="10" fontId="65" fillId="33" borderId="30" xfId="6" applyNumberFormat="1" applyFont="1" applyFill="1" applyBorder="1" applyAlignment="1" applyProtection="1">
      <alignment horizontal="center" vertical="center"/>
      <protection locked="0"/>
    </xf>
    <xf numFmtId="9" fontId="65" fillId="33" borderId="1" xfId="6" applyNumberFormat="1" applyFont="1" applyFill="1" applyBorder="1" applyAlignment="1" applyProtection="1">
      <alignment horizontal="center" vertical="center"/>
      <protection locked="0"/>
    </xf>
    <xf numFmtId="0" fontId="65" fillId="33" borderId="9" xfId="6" applyNumberFormat="1" applyFont="1" applyFill="1" applyBorder="1" applyAlignment="1" applyProtection="1">
      <alignment horizontal="center" vertical="center"/>
      <protection locked="0"/>
    </xf>
    <xf numFmtId="6" fontId="64" fillId="33" borderId="28" xfId="0" applyNumberFormat="1" applyFont="1" applyFill="1" applyBorder="1" applyAlignment="1" applyProtection="1">
      <alignment horizontal="center"/>
    </xf>
    <xf numFmtId="8" fontId="64" fillId="33" borderId="28" xfId="0" applyNumberFormat="1" applyFont="1" applyFill="1" applyBorder="1" applyAlignment="1" applyProtection="1">
      <alignment horizontal="center"/>
    </xf>
    <xf numFmtId="0" fontId="0" fillId="61" borderId="31" xfId="0" applyFont="1" applyFill="1" applyBorder="1" applyAlignment="1" applyProtection="1">
      <alignment horizontal="left" vertical="center" indent="1"/>
    </xf>
    <xf numFmtId="0" fontId="0" fillId="61" borderId="89" xfId="0" applyFont="1" applyFill="1" applyBorder="1" applyAlignment="1" applyProtection="1">
      <alignment horizontal="left" vertical="center" indent="1"/>
    </xf>
    <xf numFmtId="0" fontId="64" fillId="64" borderId="27" xfId="0" applyFont="1" applyFill="1" applyBorder="1" applyAlignment="1" applyProtection="1">
      <alignment horizontal="left" vertical="center"/>
    </xf>
    <xf numFmtId="9" fontId="64" fillId="33" borderId="28" xfId="0" applyNumberFormat="1" applyFont="1" applyFill="1" applyBorder="1" applyAlignment="1" applyProtection="1">
      <alignment horizontal="center"/>
    </xf>
    <xf numFmtId="0" fontId="64" fillId="64" borderId="27" xfId="0" applyFont="1" applyFill="1" applyBorder="1" applyAlignment="1" applyProtection="1">
      <alignment horizontal="left"/>
    </xf>
    <xf numFmtId="0" fontId="0" fillId="33" borderId="1" xfId="0" applyFont="1" applyFill="1" applyBorder="1" applyAlignment="1" applyProtection="1">
      <alignment horizontal="center"/>
    </xf>
    <xf numFmtId="8" fontId="79" fillId="59" borderId="30" xfId="0" applyNumberFormat="1" applyFont="1" applyFill="1" applyBorder="1" applyAlignment="1" applyProtection="1">
      <alignment horizontal="center"/>
    </xf>
    <xf numFmtId="0" fontId="0" fillId="0" borderId="1" xfId="0" applyFont="1" applyBorder="1" applyAlignment="1" applyProtection="1">
      <alignment horizontal="center"/>
    </xf>
    <xf numFmtId="0" fontId="64" fillId="0" borderId="9" xfId="0" applyFont="1" applyFill="1" applyBorder="1" applyAlignment="1" applyProtection="1">
      <alignment horizontal="center" vertical="center" wrapText="1"/>
    </xf>
    <xf numFmtId="0" fontId="0" fillId="33" borderId="9" xfId="0" applyFont="1" applyFill="1" applyBorder="1" applyAlignment="1" applyProtection="1">
      <alignment horizontal="center"/>
    </xf>
    <xf numFmtId="0" fontId="1" fillId="68" borderId="27" xfId="0" applyFont="1" applyFill="1" applyBorder="1" applyProtection="1"/>
    <xf numFmtId="0" fontId="1" fillId="68" borderId="28" xfId="0" applyFont="1" applyFill="1" applyBorder="1" applyAlignment="1" applyProtection="1">
      <alignment horizontal="center"/>
    </xf>
    <xf numFmtId="0" fontId="79" fillId="67" borderId="14" xfId="0" applyFont="1" applyFill="1" applyBorder="1" applyAlignment="1" applyProtection="1">
      <alignment vertical="top" wrapText="1"/>
    </xf>
    <xf numFmtId="8" fontId="94" fillId="67" borderId="60" xfId="0" applyNumberFormat="1" applyFont="1" applyFill="1" applyBorder="1" applyAlignment="1" applyProtection="1">
      <alignment vertical="top" wrapText="1"/>
    </xf>
    <xf numFmtId="0" fontId="67" fillId="61" borderId="27" xfId="843" applyNumberFormat="1" applyFont="1" applyFill="1" applyBorder="1" applyAlignment="1" applyProtection="1">
      <alignment horizontal="left" indent="2"/>
    </xf>
    <xf numFmtId="0" fontId="1" fillId="60" borderId="47" xfId="0" applyFont="1" applyFill="1" applyBorder="1" applyAlignment="1" applyProtection="1">
      <alignment horizontal="center"/>
    </xf>
    <xf numFmtId="0" fontId="1" fillId="60" borderId="7" xfId="0" applyFont="1" applyFill="1" applyBorder="1" applyAlignment="1" applyProtection="1">
      <alignment horizontal="center"/>
    </xf>
    <xf numFmtId="0" fontId="1" fillId="60" borderId="26" xfId="0" applyFont="1" applyFill="1" applyBorder="1" applyAlignment="1" applyProtection="1">
      <alignment horizontal="center"/>
    </xf>
    <xf numFmtId="0" fontId="1" fillId="60" borderId="4" xfId="0" applyFont="1" applyFill="1" applyBorder="1" applyAlignment="1" applyProtection="1">
      <alignment horizontal="center"/>
    </xf>
    <xf numFmtId="0" fontId="79" fillId="60" borderId="26" xfId="0" applyFont="1" applyFill="1" applyBorder="1" applyAlignment="1" applyProtection="1">
      <alignment horizontal="center"/>
    </xf>
    <xf numFmtId="0" fontId="0" fillId="33" borderId="0" xfId="0" quotePrefix="1" applyFill="1" applyBorder="1" applyAlignment="1"/>
    <xf numFmtId="0" fontId="0" fillId="33" borderId="0" xfId="0" applyFill="1" applyAlignment="1"/>
    <xf numFmtId="0" fontId="1" fillId="62" borderId="2" xfId="0" applyFont="1" applyFill="1" applyBorder="1" applyAlignment="1"/>
    <xf numFmtId="0" fontId="1" fillId="62" borderId="47" xfId="0" applyFont="1" applyFill="1" applyBorder="1" applyAlignment="1"/>
    <xf numFmtId="0" fontId="1" fillId="62" borderId="3" xfId="0" applyFont="1" applyFill="1" applyBorder="1" applyAlignment="1"/>
    <xf numFmtId="0" fontId="1" fillId="62" borderId="62" xfId="0" applyFont="1" applyFill="1" applyBorder="1" applyAlignment="1">
      <alignment horizontal="center"/>
    </xf>
    <xf numFmtId="0" fontId="1" fillId="33" borderId="0" xfId="0" applyFont="1" applyFill="1" applyBorder="1" applyAlignment="1"/>
    <xf numFmtId="0" fontId="1" fillId="62" borderId="62" xfId="0" applyFont="1" applyFill="1" applyBorder="1" applyAlignment="1"/>
    <xf numFmtId="0" fontId="0" fillId="33" borderId="0" xfId="0" applyFill="1" applyBorder="1" applyAlignment="1"/>
    <xf numFmtId="0" fontId="1" fillId="33" borderId="0" xfId="0" applyFont="1" applyFill="1" applyBorder="1" applyAlignment="1">
      <alignment horizontal="right"/>
    </xf>
    <xf numFmtId="0" fontId="0" fillId="33" borderId="0" xfId="0" applyFill="1" applyAlignment="1">
      <alignment horizontal="right"/>
    </xf>
    <xf numFmtId="0" fontId="0" fillId="33" borderId="0" xfId="0" applyFill="1" applyBorder="1" applyAlignment="1">
      <alignment horizontal="right"/>
    </xf>
    <xf numFmtId="0" fontId="1" fillId="62" borderId="63" xfId="0" applyFont="1" applyFill="1" applyBorder="1" applyAlignment="1">
      <alignment horizontal="right"/>
    </xf>
    <xf numFmtId="0" fontId="1" fillId="62" borderId="64" xfId="0" applyFont="1" applyFill="1" applyBorder="1" applyAlignment="1">
      <alignment horizontal="right"/>
    </xf>
    <xf numFmtId="0" fontId="1" fillId="62" borderId="63" xfId="0" applyFont="1" applyFill="1" applyBorder="1" applyAlignment="1"/>
    <xf numFmtId="0" fontId="1" fillId="62" borderId="64" xfId="0" applyFont="1" applyFill="1" applyBorder="1" applyAlignment="1"/>
    <xf numFmtId="0" fontId="1" fillId="62" borderId="58" xfId="0" applyFont="1" applyFill="1" applyBorder="1" applyAlignment="1"/>
    <xf numFmtId="0" fontId="0" fillId="67" borderId="0" xfId="0" applyFont="1" applyFill="1" applyBorder="1" applyAlignment="1" applyProtection="1">
      <alignment horizontal="left"/>
    </xf>
    <xf numFmtId="0" fontId="0" fillId="67" borderId="0" xfId="0" applyFill="1" applyBorder="1" applyProtection="1"/>
    <xf numFmtId="1" fontId="67" fillId="33" borderId="28" xfId="843" applyNumberFormat="1" applyFont="1" applyFill="1" applyBorder="1" applyAlignment="1" applyProtection="1">
      <alignment horizontal="center"/>
    </xf>
    <xf numFmtId="166" fontId="65" fillId="33" borderId="1" xfId="0" applyNumberFormat="1" applyFont="1" applyFill="1" applyBorder="1" applyAlignment="1" applyProtection="1">
      <alignment horizontal="center"/>
      <protection locked="0"/>
    </xf>
    <xf numFmtId="166" fontId="65" fillId="33" borderId="74" xfId="0" applyNumberFormat="1" applyFont="1" applyFill="1" applyBorder="1" applyAlignment="1" applyProtection="1">
      <alignment horizontal="center"/>
      <protection locked="0"/>
    </xf>
    <xf numFmtId="10" fontId="65" fillId="33" borderId="99" xfId="0" applyNumberFormat="1" applyFont="1" applyFill="1" applyBorder="1" applyAlignment="1" applyProtection="1">
      <alignment horizontal="center"/>
      <protection locked="0"/>
    </xf>
    <xf numFmtId="2" fontId="65" fillId="33" borderId="98" xfId="0" applyNumberFormat="1" applyFont="1" applyFill="1" applyBorder="1" applyAlignment="1" applyProtection="1">
      <alignment horizontal="center"/>
      <protection locked="0"/>
    </xf>
    <xf numFmtId="2" fontId="65" fillId="33" borderId="85" xfId="0" applyNumberFormat="1" applyFont="1" applyFill="1" applyBorder="1" applyAlignment="1" applyProtection="1">
      <alignment horizontal="center"/>
      <protection locked="0"/>
    </xf>
    <xf numFmtId="2" fontId="65" fillId="33" borderId="96" xfId="0" applyNumberFormat="1" applyFont="1" applyFill="1" applyBorder="1" applyAlignment="1" applyProtection="1">
      <alignment horizontal="center"/>
      <protection locked="0"/>
    </xf>
    <xf numFmtId="2" fontId="65" fillId="33" borderId="84" xfId="0" applyNumberFormat="1" applyFont="1" applyFill="1" applyBorder="1" applyAlignment="1" applyProtection="1">
      <alignment horizontal="center"/>
      <protection locked="0"/>
    </xf>
    <xf numFmtId="9" fontId="65" fillId="33" borderId="98" xfId="0" applyNumberFormat="1" applyFont="1" applyFill="1" applyBorder="1" applyAlignment="1" applyProtection="1">
      <alignment horizontal="center"/>
      <protection locked="0"/>
    </xf>
    <xf numFmtId="9" fontId="65" fillId="33" borderId="85" xfId="0" applyNumberFormat="1" applyFont="1" applyFill="1" applyBorder="1" applyAlignment="1" applyProtection="1">
      <alignment horizontal="center"/>
      <protection locked="0"/>
    </xf>
    <xf numFmtId="0" fontId="73" fillId="33" borderId="0" xfId="0" applyFont="1" applyFill="1" applyProtection="1">
      <protection locked="0"/>
    </xf>
    <xf numFmtId="0" fontId="4" fillId="33" borderId="0" xfId="0" applyFont="1" applyFill="1" applyProtection="1">
      <protection locked="0"/>
    </xf>
    <xf numFmtId="0" fontId="4" fillId="33" borderId="0" xfId="0" applyFont="1" applyFill="1" applyBorder="1" applyProtection="1">
      <protection locked="0"/>
    </xf>
    <xf numFmtId="0" fontId="4" fillId="33" borderId="0" xfId="0" applyFont="1" applyFill="1" applyAlignment="1" applyProtection="1">
      <alignment horizontal="center"/>
      <protection locked="0"/>
    </xf>
    <xf numFmtId="0" fontId="88" fillId="33" borderId="0" xfId="0" applyFont="1" applyFill="1" applyAlignment="1" applyProtection="1">
      <alignment horizontal="center"/>
      <protection locked="0"/>
    </xf>
    <xf numFmtId="0" fontId="0" fillId="33" borderId="0" xfId="0" applyFill="1" applyAlignment="1">
      <alignment horizontal="left" vertical="top" wrapText="1"/>
    </xf>
    <xf numFmtId="0" fontId="0" fillId="33" borderId="0" xfId="0" applyFont="1" applyFill="1" applyProtection="1"/>
    <xf numFmtId="0" fontId="67" fillId="33" borderId="0" xfId="843" applyNumberFormat="1" applyFont="1" applyFill="1" applyBorder="1" applyProtection="1"/>
    <xf numFmtId="0" fontId="0" fillId="33" borderId="0" xfId="0" applyFont="1" applyFill="1" applyBorder="1" applyProtection="1"/>
    <xf numFmtId="0" fontId="68" fillId="33" borderId="0" xfId="0" applyFont="1" applyFill="1" applyBorder="1" applyProtection="1"/>
    <xf numFmtId="0" fontId="0" fillId="33" borderId="0" xfId="0" applyFill="1" applyBorder="1" applyProtection="1"/>
    <xf numFmtId="0" fontId="2" fillId="33" borderId="0" xfId="0" applyFont="1" applyFill="1" applyProtection="1"/>
    <xf numFmtId="0" fontId="3" fillId="33" borderId="0" xfId="0" applyFont="1" applyFill="1" applyProtection="1"/>
    <xf numFmtId="0" fontId="0" fillId="33" borderId="0" xfId="0" applyFill="1" applyProtection="1"/>
    <xf numFmtId="0" fontId="67" fillId="33" borderId="0" xfId="843" applyNumberFormat="1" applyFont="1" applyFill="1" applyProtection="1"/>
    <xf numFmtId="0" fontId="80" fillId="33" borderId="0" xfId="0" applyFont="1" applyFill="1" applyProtection="1"/>
    <xf numFmtId="6" fontId="0" fillId="33" borderId="27" xfId="0" applyNumberFormat="1" applyFont="1" applyFill="1" applyBorder="1" applyAlignment="1" applyProtection="1">
      <alignment horizontal="center" vertical="center"/>
    </xf>
    <xf numFmtId="206" fontId="0" fillId="33" borderId="28" xfId="5" applyNumberFormat="1" applyFont="1" applyFill="1" applyBorder="1" applyAlignment="1" applyProtection="1">
      <alignment horizontal="center" vertical="center"/>
    </xf>
    <xf numFmtId="8" fontId="0" fillId="33" borderId="27" xfId="0" applyNumberFormat="1" applyFont="1" applyFill="1" applyBorder="1" applyAlignment="1" applyProtection="1">
      <alignment horizontal="center" vertical="center"/>
    </xf>
    <xf numFmtId="8" fontId="0" fillId="33" borderId="8" xfId="0" applyNumberFormat="1" applyFont="1" applyFill="1" applyBorder="1" applyAlignment="1" applyProtection="1">
      <alignment horizontal="center" vertical="center"/>
    </xf>
    <xf numFmtId="206" fontId="0" fillId="33" borderId="30" xfId="5" applyNumberFormat="1" applyFont="1" applyFill="1" applyBorder="1" applyAlignment="1" applyProtection="1">
      <alignment horizontal="center" vertical="center"/>
    </xf>
    <xf numFmtId="0" fontId="0" fillId="33" borderId="108" xfId="0" applyFont="1" applyFill="1" applyBorder="1" applyAlignment="1" applyProtection="1">
      <alignment horizontal="center"/>
    </xf>
    <xf numFmtId="9" fontId="0" fillId="33" borderId="108" xfId="6" applyFont="1" applyFill="1" applyBorder="1" applyAlignment="1" applyProtection="1">
      <alignment horizontal="center"/>
    </xf>
    <xf numFmtId="6" fontId="65" fillId="33" borderId="28" xfId="0" applyNumberFormat="1" applyFont="1" applyFill="1" applyBorder="1" applyAlignment="1" applyProtection="1">
      <alignment horizontal="center"/>
      <protection locked="0"/>
    </xf>
    <xf numFmtId="6" fontId="65" fillId="33" borderId="30" xfId="0" applyNumberFormat="1" applyFont="1" applyFill="1" applyBorder="1" applyAlignment="1" applyProtection="1">
      <alignment horizontal="center"/>
      <protection locked="0"/>
    </xf>
    <xf numFmtId="0" fontId="86" fillId="33" borderId="0" xfId="0" applyFont="1" applyFill="1" applyProtection="1"/>
    <xf numFmtId="9" fontId="0" fillId="33" borderId="0" xfId="0" applyNumberFormat="1" applyFill="1" applyProtection="1"/>
    <xf numFmtId="0" fontId="0" fillId="33" borderId="0" xfId="0" applyFill="1" applyBorder="1" applyAlignment="1" applyProtection="1"/>
    <xf numFmtId="0" fontId="0" fillId="33" borderId="0" xfId="0" applyFill="1" applyBorder="1" applyAlignment="1" applyProtection="1">
      <alignment horizontal="left" vertical="top" wrapText="1"/>
    </xf>
    <xf numFmtId="0" fontId="0" fillId="67" borderId="2" xfId="0" applyFill="1" applyBorder="1" applyAlignment="1" applyProtection="1"/>
    <xf numFmtId="0" fontId="0" fillId="67" borderId="3" xfId="0" applyFill="1" applyBorder="1" applyAlignment="1" applyProtection="1"/>
    <xf numFmtId="0" fontId="0" fillId="67" borderId="3" xfId="0" applyFill="1" applyBorder="1" applyAlignment="1" applyProtection="1">
      <alignment horizontal="left" vertical="top" wrapText="1"/>
    </xf>
    <xf numFmtId="0" fontId="0" fillId="67" borderId="3" xfId="0" applyFill="1" applyBorder="1" applyProtection="1"/>
    <xf numFmtId="0" fontId="67" fillId="67" borderId="58" xfId="843" applyNumberFormat="1" applyFont="1" applyFill="1" applyBorder="1" applyProtection="1"/>
    <xf numFmtId="0" fontId="0" fillId="67" borderId="5" xfId="0" applyFill="1" applyBorder="1" applyAlignment="1" applyProtection="1"/>
    <xf numFmtId="0" fontId="0" fillId="67" borderId="0" xfId="0" applyFill="1" applyBorder="1" applyAlignment="1" applyProtection="1">
      <alignment horizontal="left" vertical="top" wrapText="1"/>
    </xf>
    <xf numFmtId="0" fontId="67" fillId="67" borderId="29" xfId="843" applyNumberFormat="1" applyFont="1" applyFill="1" applyBorder="1" applyProtection="1"/>
    <xf numFmtId="0" fontId="0" fillId="67" borderId="0" xfId="0" applyFill="1" applyBorder="1" applyAlignment="1" applyProtection="1"/>
    <xf numFmtId="0" fontId="67" fillId="61" borderId="0" xfId="843" applyNumberFormat="1" applyFont="1" applyFill="1" applyBorder="1" applyAlignment="1" applyProtection="1">
      <alignment horizontal="left" indent="2"/>
    </xf>
    <xf numFmtId="0" fontId="69" fillId="67" borderId="0" xfId="843" applyNumberFormat="1" applyFont="1" applyFill="1" applyBorder="1" applyAlignment="1" applyProtection="1">
      <alignment horizontal="center"/>
    </xf>
    <xf numFmtId="0" fontId="0" fillId="67" borderId="42" xfId="0" applyFill="1" applyBorder="1" applyAlignment="1" applyProtection="1"/>
    <xf numFmtId="0" fontId="0" fillId="67" borderId="14" xfId="0" applyFill="1" applyBorder="1" applyAlignment="1" applyProtection="1"/>
    <xf numFmtId="0" fontId="0" fillId="67" borderId="14" xfId="0" applyFill="1" applyBorder="1" applyAlignment="1" applyProtection="1">
      <alignment horizontal="left" vertical="top" wrapText="1"/>
    </xf>
    <xf numFmtId="44" fontId="67" fillId="33" borderId="0" xfId="843" applyNumberFormat="1" applyFont="1" applyFill="1" applyProtection="1"/>
    <xf numFmtId="8" fontId="0" fillId="33" borderId="0" xfId="0" applyNumberFormat="1" applyFill="1" applyProtection="1"/>
    <xf numFmtId="0" fontId="1" fillId="33" borderId="0" xfId="0" applyFont="1" applyFill="1" applyProtection="1"/>
    <xf numFmtId="0" fontId="79" fillId="60" borderId="7" xfId="0" applyFont="1" applyFill="1" applyBorder="1" applyAlignment="1" applyProtection="1">
      <alignment horizontal="center"/>
    </xf>
    <xf numFmtId="0" fontId="0" fillId="33" borderId="0" xfId="0" applyFont="1" applyFill="1" applyBorder="1" applyAlignment="1" applyProtection="1">
      <alignment horizontal="center" vertical="center" wrapText="1"/>
    </xf>
    <xf numFmtId="8" fontId="64" fillId="33" borderId="27" xfId="0" applyNumberFormat="1" applyFont="1" applyFill="1" applyBorder="1" applyAlignment="1" applyProtection="1">
      <alignment horizontal="center"/>
    </xf>
    <xf numFmtId="0" fontId="0" fillId="33" borderId="0" xfId="0" applyFont="1" applyFill="1" applyBorder="1" applyAlignment="1" applyProtection="1">
      <alignment vertical="center" wrapText="1"/>
    </xf>
    <xf numFmtId="8" fontId="79" fillId="59" borderId="8" xfId="0" applyNumberFormat="1" applyFont="1" applyFill="1" applyBorder="1" applyAlignment="1" applyProtection="1">
      <alignment horizontal="center"/>
    </xf>
    <xf numFmtId="6" fontId="64" fillId="33" borderId="8" xfId="0" applyNumberFormat="1" applyFont="1" applyFill="1" applyBorder="1" applyAlignment="1" applyProtection="1">
      <alignment horizontal="center"/>
    </xf>
    <xf numFmtId="8" fontId="64" fillId="33" borderId="30" xfId="0" applyNumberFormat="1" applyFont="1" applyFill="1" applyBorder="1" applyAlignment="1" applyProtection="1">
      <alignment horizontal="center"/>
    </xf>
    <xf numFmtId="8" fontId="81" fillId="33" borderId="8" xfId="0" applyNumberFormat="1" applyFont="1" applyFill="1" applyBorder="1" applyAlignment="1" applyProtection="1">
      <alignment horizontal="center"/>
    </xf>
    <xf numFmtId="8" fontId="81" fillId="33" borderId="30" xfId="0" applyNumberFormat="1" applyFont="1" applyFill="1" applyBorder="1" applyAlignment="1" applyProtection="1">
      <alignment horizontal="center"/>
    </xf>
    <xf numFmtId="0" fontId="66" fillId="33" borderId="0" xfId="0" applyFont="1" applyFill="1" applyBorder="1" applyAlignment="1" applyProtection="1">
      <alignment horizontal="left" vertical="center" indent="2"/>
    </xf>
    <xf numFmtId="43" fontId="66" fillId="33" borderId="0" xfId="844" applyFont="1" applyFill="1" applyBorder="1" applyAlignment="1" applyProtection="1">
      <alignment horizontal="center" vertical="center"/>
    </xf>
    <xf numFmtId="0" fontId="64" fillId="33" borderId="0" xfId="0" applyFont="1" applyFill="1" applyProtection="1"/>
    <xf numFmtId="0" fontId="64" fillId="33" borderId="0" xfId="0" applyFont="1" applyFill="1" applyBorder="1" applyProtection="1"/>
    <xf numFmtId="0" fontId="66" fillId="33" borderId="0" xfId="0" applyFont="1" applyFill="1" applyBorder="1" applyProtection="1"/>
    <xf numFmtId="168" fontId="1" fillId="33" borderId="0" xfId="0" applyNumberFormat="1" applyFont="1" applyFill="1" applyBorder="1" applyProtection="1"/>
    <xf numFmtId="0" fontId="64" fillId="33" borderId="109" xfId="0" applyFont="1" applyFill="1" applyBorder="1" applyAlignment="1" applyProtection="1">
      <alignment horizontal="center"/>
    </xf>
    <xf numFmtId="0" fontId="0" fillId="33" borderId="28" xfId="0" applyFont="1" applyFill="1" applyBorder="1" applyAlignment="1" applyProtection="1">
      <alignment horizontal="center"/>
    </xf>
    <xf numFmtId="6" fontId="64" fillId="33" borderId="109" xfId="0" applyNumberFormat="1" applyFont="1" applyFill="1" applyBorder="1" applyAlignment="1" applyProtection="1">
      <alignment horizontal="center"/>
    </xf>
    <xf numFmtId="6" fontId="0" fillId="33" borderId="68" xfId="0" applyNumberFormat="1" applyFont="1" applyFill="1" applyBorder="1" applyAlignment="1" applyProtection="1">
      <alignment horizontal="center"/>
    </xf>
    <xf numFmtId="0" fontId="0" fillId="33" borderId="30" xfId="0" applyFont="1" applyFill="1" applyBorder="1" applyAlignment="1" applyProtection="1">
      <alignment horizontal="center"/>
    </xf>
    <xf numFmtId="0" fontId="1" fillId="33" borderId="0" xfId="0" applyFont="1" applyFill="1" applyBorder="1" applyAlignment="1" applyProtection="1">
      <alignment horizontal="center"/>
    </xf>
    <xf numFmtId="9" fontId="65" fillId="33" borderId="0" xfId="0" applyNumberFormat="1" applyFont="1" applyFill="1" applyBorder="1" applyAlignment="1" applyProtection="1">
      <alignment horizontal="center"/>
    </xf>
    <xf numFmtId="0" fontId="0" fillId="33" borderId="0" xfId="0" applyFill="1" applyAlignment="1" applyProtection="1">
      <alignment horizontal="left" indent="2"/>
    </xf>
    <xf numFmtId="8" fontId="0" fillId="33" borderId="0" xfId="0" applyNumberFormat="1" applyFont="1" applyFill="1" applyProtection="1"/>
    <xf numFmtId="6" fontId="64" fillId="33" borderId="0" xfId="0" applyNumberFormat="1" applyFont="1" applyFill="1" applyProtection="1"/>
    <xf numFmtId="0" fontId="64" fillId="0" borderId="0" xfId="0" applyFont="1" applyFill="1" applyProtection="1"/>
    <xf numFmtId="0" fontId="1" fillId="33" borderId="0" xfId="0" applyFont="1" applyFill="1" applyBorder="1" applyAlignment="1" applyProtection="1"/>
    <xf numFmtId="0" fontId="63" fillId="33" borderId="0" xfId="0" applyFont="1" applyFill="1" applyBorder="1" applyAlignment="1" applyProtection="1">
      <alignment vertical="center" wrapText="1"/>
    </xf>
    <xf numFmtId="0" fontId="74" fillId="33" borderId="0" xfId="0" applyFont="1" applyFill="1" applyProtection="1"/>
    <xf numFmtId="0" fontId="0" fillId="33" borderId="0" xfId="0" applyFill="1" applyAlignment="1" applyProtection="1">
      <alignment horizontal="left" indent="6"/>
    </xf>
    <xf numFmtId="164" fontId="64" fillId="33" borderId="28" xfId="0" applyNumberFormat="1" applyFont="1" applyFill="1" applyBorder="1" applyAlignment="1" applyProtection="1">
      <alignment horizontal="center" vertical="center"/>
      <protection locked="0"/>
    </xf>
    <xf numFmtId="0" fontId="0" fillId="64" borderId="27" xfId="0" applyFont="1" applyFill="1" applyBorder="1" applyAlignment="1" applyProtection="1">
      <alignment horizontal="left"/>
    </xf>
    <xf numFmtId="0" fontId="64" fillId="64" borderId="8" xfId="0" applyFont="1" applyFill="1" applyBorder="1" applyAlignment="1" applyProtection="1">
      <alignment horizontal="left" vertical="center"/>
    </xf>
    <xf numFmtId="9" fontId="64" fillId="33" borderId="30" xfId="0" applyNumberFormat="1" applyFont="1" applyFill="1" applyBorder="1" applyAlignment="1" applyProtection="1">
      <alignment horizontal="center"/>
    </xf>
    <xf numFmtId="0" fontId="67" fillId="61" borderId="31" xfId="843" applyNumberFormat="1" applyFont="1" applyFill="1" applyBorder="1" applyAlignment="1" applyProtection="1">
      <alignment horizontal="left" vertical="center" indent="1"/>
    </xf>
    <xf numFmtId="8" fontId="79" fillId="67" borderId="14" xfId="0" applyNumberFormat="1" applyFont="1" applyFill="1" applyBorder="1" applyAlignment="1" applyProtection="1">
      <alignment horizontal="center" vertical="top" wrapText="1"/>
    </xf>
    <xf numFmtId="0" fontId="67" fillId="61" borderId="109" xfId="843" applyNumberFormat="1" applyFont="1" applyFill="1" applyBorder="1" applyAlignment="1" applyProtection="1">
      <alignment horizontal="left" vertical="center" indent="1"/>
    </xf>
    <xf numFmtId="0" fontId="0" fillId="0" borderId="110" xfId="0" applyFont="1" applyBorder="1" applyAlignment="1">
      <alignment horizontal="center"/>
    </xf>
    <xf numFmtId="6" fontId="0" fillId="33" borderId="110" xfId="0" applyNumberFormat="1" applyFont="1" applyFill="1" applyBorder="1" applyAlignment="1">
      <alignment horizontal="center" vertical="center"/>
    </xf>
    <xf numFmtId="8" fontId="0" fillId="0" borderId="110" xfId="0" applyNumberFormat="1" applyFont="1" applyBorder="1" applyAlignment="1">
      <alignment horizontal="center" vertical="center"/>
    </xf>
    <xf numFmtId="6" fontId="0" fillId="0" borderId="110" xfId="0" applyNumberFormat="1" applyFont="1" applyFill="1" applyBorder="1" applyAlignment="1">
      <alignment horizontal="center" vertical="center"/>
    </xf>
    <xf numFmtId="6" fontId="0" fillId="0" borderId="110" xfId="0" applyNumberFormat="1" applyFont="1" applyBorder="1" applyAlignment="1">
      <alignment horizontal="center" vertical="center"/>
    </xf>
    <xf numFmtId="0" fontId="0" fillId="0" borderId="0" xfId="0" applyFont="1" applyFill="1" applyProtection="1"/>
    <xf numFmtId="0" fontId="1" fillId="60" borderId="7" xfId="0" applyFont="1" applyFill="1" applyBorder="1" applyAlignment="1" applyProtection="1">
      <alignment horizontal="center"/>
    </xf>
    <xf numFmtId="0" fontId="1" fillId="60" borderId="26" xfId="0" applyFont="1" applyFill="1" applyBorder="1" applyAlignment="1" applyProtection="1">
      <alignment horizontal="center"/>
    </xf>
    <xf numFmtId="0" fontId="1" fillId="60" borderId="111" xfId="0" applyFont="1" applyFill="1" applyBorder="1" applyAlignment="1" applyProtection="1">
      <alignment horizontal="center"/>
    </xf>
    <xf numFmtId="8" fontId="0" fillId="33" borderId="28" xfId="0" applyNumberFormat="1" applyFont="1" applyFill="1" applyBorder="1" applyAlignment="1" applyProtection="1">
      <alignment horizontal="center" vertical="center"/>
    </xf>
    <xf numFmtId="0" fontId="0" fillId="33" borderId="27" xfId="0" applyFont="1" applyFill="1" applyBorder="1" applyAlignment="1" applyProtection="1">
      <alignment horizontal="center"/>
    </xf>
    <xf numFmtId="0" fontId="0" fillId="33" borderId="112" xfId="0" applyFont="1" applyFill="1" applyBorder="1" applyAlignment="1" applyProtection="1">
      <alignment horizontal="center" vertical="center"/>
    </xf>
    <xf numFmtId="0" fontId="0" fillId="33" borderId="112" xfId="0" applyFont="1" applyFill="1" applyBorder="1" applyAlignment="1" applyProtection="1">
      <alignment horizontal="center" vertical="center" wrapText="1"/>
    </xf>
    <xf numFmtId="0" fontId="64" fillId="33" borderId="113" xfId="0" applyFont="1" applyFill="1" applyBorder="1" applyAlignment="1" applyProtection="1">
      <alignment horizontal="center" vertical="center" wrapText="1"/>
    </xf>
    <xf numFmtId="0" fontId="1" fillId="60" borderId="78" xfId="0" applyFont="1" applyFill="1" applyBorder="1" applyAlignment="1" applyProtection="1">
      <alignment horizontal="center"/>
    </xf>
    <xf numFmtId="9" fontId="65" fillId="33" borderId="77" xfId="6" applyFont="1" applyFill="1" applyBorder="1" applyAlignment="1" applyProtection="1">
      <alignment horizontal="center"/>
      <protection locked="0"/>
    </xf>
    <xf numFmtId="8" fontId="65" fillId="33" borderId="77" xfId="0" applyNumberFormat="1" applyFont="1" applyFill="1" applyBorder="1" applyAlignment="1" applyProtection="1">
      <alignment horizontal="center"/>
      <protection locked="0"/>
    </xf>
    <xf numFmtId="0" fontId="65" fillId="33" borderId="77" xfId="0" applyNumberFormat="1" applyFont="1" applyFill="1" applyBorder="1" applyAlignment="1" applyProtection="1">
      <alignment horizontal="center" vertical="center"/>
      <protection locked="0"/>
    </xf>
    <xf numFmtId="9" fontId="65" fillId="33" borderId="77" xfId="0" applyNumberFormat="1" applyFont="1" applyFill="1" applyBorder="1" applyAlignment="1" applyProtection="1">
      <alignment horizontal="center" vertical="center"/>
      <protection locked="0"/>
    </xf>
    <xf numFmtId="10" fontId="65" fillId="33" borderId="114" xfId="1" applyNumberFormat="1" applyFont="1" applyFill="1" applyBorder="1" applyAlignment="1" applyProtection="1">
      <alignment horizontal="center" vertical="center" wrapText="1"/>
      <protection locked="0"/>
    </xf>
    <xf numFmtId="0" fontId="1" fillId="60" borderId="4" xfId="0" applyFont="1" applyFill="1" applyBorder="1" applyAlignment="1" applyProtection="1">
      <alignment horizontal="center"/>
    </xf>
    <xf numFmtId="0" fontId="1" fillId="60" borderId="26" xfId="0" applyFont="1" applyFill="1" applyBorder="1" applyAlignment="1" applyProtection="1">
      <alignment horizontal="center"/>
    </xf>
    <xf numFmtId="0" fontId="62" fillId="0" borderId="0" xfId="0" applyFont="1" applyAlignment="1">
      <alignment vertical="center"/>
    </xf>
    <xf numFmtId="0" fontId="67" fillId="61" borderId="8" xfId="843" applyNumberFormat="1" applyFont="1" applyFill="1" applyBorder="1" applyAlignment="1" applyProtection="1">
      <alignment horizontal="left" indent="2"/>
    </xf>
    <xf numFmtId="0" fontId="1" fillId="59" borderId="42" xfId="0" applyFont="1" applyFill="1" applyBorder="1" applyProtection="1"/>
    <xf numFmtId="0" fontId="1" fillId="59" borderId="43" xfId="0" applyFont="1" applyFill="1" applyBorder="1" applyProtection="1"/>
    <xf numFmtId="0" fontId="1" fillId="59" borderId="71" xfId="0" applyFont="1" applyFill="1" applyBorder="1" applyAlignment="1" applyProtection="1">
      <alignment horizontal="center"/>
    </xf>
    <xf numFmtId="8" fontId="79" fillId="59" borderId="72" xfId="0" applyNumberFormat="1" applyFont="1" applyFill="1" applyBorder="1" applyAlignment="1" applyProtection="1">
      <alignment horizontal="center"/>
    </xf>
    <xf numFmtId="0" fontId="0" fillId="33" borderId="74" xfId="0" applyFont="1" applyFill="1" applyBorder="1" applyAlignment="1" applyProtection="1">
      <alignment horizontal="center"/>
    </xf>
    <xf numFmtId="9" fontId="69" fillId="33" borderId="30" xfId="843" applyNumberFormat="1" applyFont="1" applyFill="1" applyBorder="1" applyAlignment="1" applyProtection="1">
      <alignment horizontal="center"/>
      <protection locked="0"/>
    </xf>
    <xf numFmtId="8" fontId="0" fillId="0" borderId="61" xfId="0" applyNumberFormat="1" applyFont="1" applyBorder="1" applyAlignment="1">
      <alignment horizontal="center"/>
    </xf>
    <xf numFmtId="8" fontId="0" fillId="0" borderId="60" xfId="0" applyNumberFormat="1" applyFont="1" applyBorder="1" applyAlignment="1">
      <alignment horizontal="center"/>
    </xf>
    <xf numFmtId="0" fontId="1" fillId="68" borderId="108" xfId="0" applyFont="1" applyFill="1" applyBorder="1" applyAlignment="1" applyProtection="1">
      <alignment horizontal="center"/>
    </xf>
    <xf numFmtId="0" fontId="73" fillId="33" borderId="108" xfId="0" applyFont="1" applyFill="1" applyBorder="1" applyAlignment="1">
      <alignment horizontal="center"/>
    </xf>
    <xf numFmtId="6" fontId="73" fillId="33" borderId="108" xfId="0" applyNumberFormat="1" applyFont="1" applyFill="1" applyBorder="1" applyAlignment="1">
      <alignment horizontal="center"/>
    </xf>
    <xf numFmtId="8" fontId="73" fillId="33" borderId="108" xfId="0" applyNumberFormat="1" applyFont="1" applyFill="1" applyBorder="1" applyAlignment="1">
      <alignment horizontal="center" vertical="center"/>
    </xf>
    <xf numFmtId="8" fontId="73" fillId="33" borderId="108" xfId="0" applyNumberFormat="1" applyFont="1" applyFill="1" applyBorder="1" applyAlignment="1" applyProtection="1">
      <alignment horizontal="center" vertical="center"/>
      <protection locked="0"/>
    </xf>
    <xf numFmtId="9" fontId="73" fillId="33" borderId="108" xfId="6" applyFont="1" applyFill="1" applyBorder="1" applyAlignment="1" applyProtection="1">
      <alignment horizontal="center" vertical="center"/>
      <protection locked="0"/>
    </xf>
    <xf numFmtId="9" fontId="73" fillId="33" borderId="108" xfId="6" applyFont="1" applyFill="1" applyBorder="1" applyAlignment="1">
      <alignment horizontal="center"/>
    </xf>
    <xf numFmtId="8" fontId="73" fillId="33" borderId="108" xfId="6" applyNumberFormat="1" applyFont="1" applyFill="1" applyBorder="1" applyAlignment="1" applyProtection="1">
      <alignment horizontal="center" vertical="center"/>
      <protection locked="0"/>
    </xf>
    <xf numFmtId="9" fontId="73" fillId="33" borderId="28" xfId="6" applyFont="1" applyFill="1" applyBorder="1" applyAlignment="1">
      <alignment horizontal="center" vertical="center"/>
    </xf>
    <xf numFmtId="208" fontId="73" fillId="33" borderId="9" xfId="0" applyNumberFormat="1" applyFont="1" applyFill="1" applyBorder="1" applyAlignment="1" applyProtection="1">
      <alignment horizontal="center" vertical="center"/>
      <protection locked="0"/>
    </xf>
    <xf numFmtId="208" fontId="73" fillId="33" borderId="30" xfId="0" applyNumberFormat="1" applyFont="1" applyFill="1" applyBorder="1" applyAlignment="1">
      <alignment horizontal="center" vertical="center"/>
    </xf>
    <xf numFmtId="8" fontId="73" fillId="33" borderId="28" xfId="6" applyNumberFormat="1" applyFont="1" applyFill="1" applyBorder="1" applyAlignment="1">
      <alignment horizontal="center" vertical="center"/>
    </xf>
    <xf numFmtId="0" fontId="88" fillId="33" borderId="0" xfId="0" applyFont="1" applyFill="1" applyAlignment="1">
      <alignment wrapText="1"/>
    </xf>
    <xf numFmtId="209" fontId="89" fillId="33" borderId="18" xfId="5" applyNumberFormat="1" applyFont="1" applyFill="1" applyBorder="1" applyAlignment="1">
      <alignment horizontal="right" wrapText="1"/>
    </xf>
    <xf numFmtId="165" fontId="64" fillId="33" borderId="28" xfId="0" applyNumberFormat="1" applyFont="1" applyFill="1" applyBorder="1" applyAlignment="1" applyProtection="1">
      <alignment horizontal="center" vertical="center"/>
    </xf>
    <xf numFmtId="1" fontId="64" fillId="33" borderId="30" xfId="0" applyNumberFormat="1" applyFont="1" applyFill="1" applyBorder="1" applyAlignment="1" applyProtection="1">
      <alignment horizontal="center" vertical="center"/>
    </xf>
    <xf numFmtId="0" fontId="64" fillId="33" borderId="0" xfId="0" applyFont="1" applyFill="1" applyAlignment="1" applyProtection="1">
      <alignment horizontal="center"/>
    </xf>
    <xf numFmtId="2" fontId="64" fillId="33" borderId="0" xfId="0" applyNumberFormat="1" applyFont="1" applyFill="1" applyAlignment="1" applyProtection="1">
      <alignment horizontal="center"/>
    </xf>
    <xf numFmtId="0" fontId="64" fillId="33" borderId="0" xfId="0" applyFont="1" applyFill="1" applyBorder="1" applyAlignment="1" applyProtection="1">
      <alignment horizontal="center"/>
    </xf>
    <xf numFmtId="2" fontId="64" fillId="33" borderId="0" xfId="0" applyNumberFormat="1" applyFont="1" applyFill="1" applyProtection="1"/>
    <xf numFmtId="1" fontId="64" fillId="33" borderId="1" xfId="0" applyNumberFormat="1" applyFont="1" applyFill="1" applyBorder="1" applyAlignment="1" applyProtection="1">
      <alignment horizontal="center"/>
    </xf>
    <xf numFmtId="0" fontId="64" fillId="33" borderId="28" xfId="0" applyFont="1" applyFill="1" applyBorder="1" applyAlignment="1" applyProtection="1">
      <alignment horizontal="center"/>
    </xf>
    <xf numFmtId="0" fontId="64" fillId="33" borderId="0" xfId="0" applyFont="1" applyFill="1" applyAlignment="1" applyProtection="1">
      <alignment horizontal="right"/>
    </xf>
    <xf numFmtId="166" fontId="64" fillId="33" borderId="0" xfId="0" applyNumberFormat="1" applyFont="1" applyFill="1" applyAlignment="1" applyProtection="1">
      <alignment horizontal="center"/>
    </xf>
    <xf numFmtId="209" fontId="64" fillId="33" borderId="0" xfId="0" applyNumberFormat="1" applyFont="1" applyFill="1" applyAlignment="1" applyProtection="1">
      <alignment horizontal="center"/>
    </xf>
    <xf numFmtId="206" fontId="64" fillId="33" borderId="0" xfId="0" applyNumberFormat="1" applyFont="1" applyFill="1" applyAlignment="1" applyProtection="1">
      <alignment horizontal="center"/>
    </xf>
    <xf numFmtId="9" fontId="64" fillId="33" borderId="1" xfId="0" applyNumberFormat="1" applyFont="1" applyFill="1" applyBorder="1" applyAlignment="1" applyProtection="1">
      <alignment horizontal="center"/>
    </xf>
    <xf numFmtId="166" fontId="64" fillId="33" borderId="1" xfId="0" applyNumberFormat="1" applyFont="1" applyFill="1" applyBorder="1" applyAlignment="1" applyProtection="1">
      <alignment horizontal="center"/>
    </xf>
    <xf numFmtId="9" fontId="64" fillId="33" borderId="9" xfId="0" applyNumberFormat="1" applyFont="1" applyFill="1" applyBorder="1" applyAlignment="1" applyProtection="1">
      <alignment horizontal="center" vertical="center"/>
    </xf>
    <xf numFmtId="0" fontId="64" fillId="33" borderId="30" xfId="0" applyFont="1" applyFill="1" applyBorder="1" applyAlignment="1" applyProtection="1">
      <alignment horizontal="center"/>
    </xf>
    <xf numFmtId="0" fontId="64" fillId="33" borderId="0" xfId="0" applyFont="1" applyFill="1" applyAlignment="1" applyProtection="1"/>
    <xf numFmtId="9" fontId="64" fillId="33" borderId="0" xfId="0" applyNumberFormat="1" applyFont="1" applyFill="1" applyAlignment="1" applyProtection="1">
      <alignment horizontal="center"/>
    </xf>
    <xf numFmtId="0" fontId="64" fillId="62" borderId="4" xfId="0" applyFont="1" applyFill="1" applyBorder="1" applyAlignment="1" applyProtection="1">
      <alignment horizontal="center"/>
    </xf>
    <xf numFmtId="0" fontId="64" fillId="62" borderId="26" xfId="0" applyFont="1" applyFill="1" applyBorder="1" applyAlignment="1" applyProtection="1">
      <alignment horizontal="center"/>
    </xf>
    <xf numFmtId="0" fontId="64" fillId="62" borderId="78" xfId="0" applyFont="1" applyFill="1" applyBorder="1" applyAlignment="1" applyProtection="1">
      <alignment horizontal="center"/>
    </xf>
    <xf numFmtId="209" fontId="82" fillId="33" borderId="0" xfId="0" applyNumberFormat="1" applyFont="1" applyFill="1" applyAlignment="1" applyProtection="1">
      <alignment horizontal="center"/>
    </xf>
    <xf numFmtId="0" fontId="82" fillId="33" borderId="0" xfId="0" applyFont="1" applyFill="1" applyAlignment="1" applyProtection="1">
      <alignment horizontal="center"/>
    </xf>
    <xf numFmtId="206" fontId="64" fillId="33" borderId="28" xfId="0" applyNumberFormat="1" applyFont="1" applyFill="1" applyBorder="1" applyAlignment="1" applyProtection="1">
      <alignment horizontal="center"/>
    </xf>
    <xf numFmtId="166" fontId="64" fillId="33" borderId="74" xfId="0" applyNumberFormat="1" applyFont="1" applyFill="1" applyBorder="1" applyAlignment="1" applyProtection="1">
      <alignment horizontal="center"/>
    </xf>
    <xf numFmtId="166" fontId="83" fillId="65" borderId="71" xfId="0" applyNumberFormat="1" applyFont="1" applyFill="1" applyBorder="1" applyAlignment="1" applyProtection="1">
      <alignment horizontal="center"/>
    </xf>
    <xf numFmtId="206" fontId="83" fillId="65" borderId="72" xfId="0" applyNumberFormat="1" applyFont="1" applyFill="1" applyBorder="1" applyAlignment="1" applyProtection="1">
      <alignment horizontal="center"/>
    </xf>
    <xf numFmtId="0" fontId="83" fillId="33" borderId="0" xfId="0" applyFont="1" applyFill="1" applyBorder="1" applyAlignment="1" applyProtection="1">
      <alignment horizontal="center"/>
    </xf>
    <xf numFmtId="166" fontId="83" fillId="33" borderId="0" xfId="0" applyNumberFormat="1" applyFont="1" applyFill="1" applyAlignment="1" applyProtection="1">
      <alignment horizontal="center"/>
    </xf>
    <xf numFmtId="0" fontId="83" fillId="33" borderId="0" xfId="0" applyFont="1" applyFill="1" applyProtection="1"/>
    <xf numFmtId="209" fontId="84" fillId="33" borderId="0" xfId="0" applyNumberFormat="1" applyFont="1" applyFill="1" applyAlignment="1" applyProtection="1">
      <alignment horizontal="center"/>
    </xf>
    <xf numFmtId="0" fontId="84" fillId="33" borderId="0" xfId="0" applyFont="1" applyFill="1" applyAlignment="1" applyProtection="1">
      <alignment horizontal="center"/>
    </xf>
    <xf numFmtId="2" fontId="83" fillId="33" borderId="0" xfId="0" applyNumberFormat="1" applyFont="1" applyFill="1" applyProtection="1"/>
    <xf numFmtId="0" fontId="64" fillId="33" borderId="0" xfId="0" applyFont="1" applyFill="1" applyBorder="1" applyAlignment="1" applyProtection="1"/>
    <xf numFmtId="9" fontId="64" fillId="33" borderId="0" xfId="0" applyNumberFormat="1" applyFont="1" applyFill="1" applyBorder="1" applyAlignment="1" applyProtection="1">
      <alignment horizontal="center"/>
    </xf>
    <xf numFmtId="166" fontId="64" fillId="33" borderId="0" xfId="0" applyNumberFormat="1" applyFont="1" applyFill="1" applyBorder="1" applyAlignment="1" applyProtection="1">
      <alignment horizontal="center"/>
    </xf>
    <xf numFmtId="206" fontId="64" fillId="33" borderId="0" xfId="0" applyNumberFormat="1" applyFont="1" applyFill="1" applyBorder="1" applyAlignment="1" applyProtection="1">
      <alignment horizontal="center"/>
    </xf>
    <xf numFmtId="166" fontId="64" fillId="33" borderId="0" xfId="0" applyNumberFormat="1" applyFont="1" applyFill="1" applyBorder="1" applyProtection="1"/>
    <xf numFmtId="2" fontId="64" fillId="33" borderId="0" xfId="0" applyNumberFormat="1" applyFont="1" applyFill="1" applyBorder="1" applyProtection="1"/>
    <xf numFmtId="166" fontId="64" fillId="33" borderId="0" xfId="0" applyNumberFormat="1" applyFont="1" applyFill="1" applyProtection="1"/>
    <xf numFmtId="0" fontId="83" fillId="33" borderId="0" xfId="0" applyFont="1" applyFill="1" applyAlignment="1" applyProtection="1">
      <alignment horizontal="center"/>
    </xf>
    <xf numFmtId="206" fontId="83" fillId="33" borderId="0" xfId="0" applyNumberFormat="1" applyFont="1" applyFill="1" applyAlignment="1" applyProtection="1">
      <alignment horizontal="center"/>
    </xf>
    <xf numFmtId="0" fontId="79" fillId="33" borderId="0" xfId="0" applyFont="1" applyFill="1" applyProtection="1"/>
    <xf numFmtId="0" fontId="79" fillId="62" borderId="4" xfId="0" applyFont="1" applyFill="1" applyBorder="1" applyAlignment="1" applyProtection="1">
      <alignment horizontal="center" vertical="center"/>
    </xf>
    <xf numFmtId="0" fontId="79" fillId="62" borderId="4" xfId="0" applyFont="1" applyFill="1" applyBorder="1" applyAlignment="1" applyProtection="1">
      <alignment horizontal="center" vertical="center" wrapText="1"/>
    </xf>
    <xf numFmtId="0" fontId="79" fillId="62" borderId="26" xfId="0" applyFont="1" applyFill="1" applyBorder="1" applyAlignment="1" applyProtection="1">
      <alignment horizontal="center" vertical="center" wrapText="1"/>
    </xf>
    <xf numFmtId="206" fontId="85" fillId="33" borderId="1" xfId="0" applyNumberFormat="1" applyFont="1" applyFill="1" applyBorder="1" applyAlignment="1" applyProtection="1">
      <alignment horizontal="center"/>
    </xf>
    <xf numFmtId="166" fontId="85" fillId="33" borderId="28" xfId="0" applyNumberFormat="1" applyFont="1" applyFill="1" applyBorder="1" applyAlignment="1" applyProtection="1">
      <alignment horizontal="center" vertical="center"/>
    </xf>
    <xf numFmtId="166" fontId="64" fillId="33" borderId="0" xfId="0" applyNumberFormat="1" applyFont="1" applyFill="1" applyAlignment="1" applyProtection="1">
      <alignment horizontal="center" vertical="center"/>
    </xf>
    <xf numFmtId="166" fontId="92" fillId="69" borderId="0" xfId="0" applyNumberFormat="1" applyFont="1" applyFill="1" applyAlignment="1" applyProtection="1">
      <alignment horizontal="left"/>
    </xf>
    <xf numFmtId="166" fontId="64" fillId="69" borderId="0" xfId="0" applyNumberFormat="1" applyFont="1" applyFill="1" applyAlignment="1" applyProtection="1">
      <alignment horizontal="center" vertical="center"/>
    </xf>
    <xf numFmtId="166" fontId="64" fillId="69" borderId="0" xfId="0" applyNumberFormat="1" applyFont="1" applyFill="1" applyAlignment="1" applyProtection="1">
      <alignment horizontal="center"/>
    </xf>
    <xf numFmtId="206" fontId="85" fillId="33" borderId="9" xfId="0" applyNumberFormat="1" applyFont="1" applyFill="1" applyBorder="1" applyAlignment="1" applyProtection="1">
      <alignment horizontal="center"/>
    </xf>
    <xf numFmtId="166" fontId="64" fillId="33" borderId="9" xfId="0" applyNumberFormat="1" applyFont="1" applyFill="1" applyBorder="1" applyAlignment="1" applyProtection="1">
      <alignment horizontal="center"/>
    </xf>
    <xf numFmtId="166" fontId="85" fillId="33" borderId="75" xfId="0" applyNumberFormat="1" applyFont="1" applyFill="1" applyBorder="1" applyAlignment="1" applyProtection="1">
      <alignment horizontal="center" vertical="center"/>
    </xf>
    <xf numFmtId="209" fontId="85" fillId="33" borderId="0" xfId="0" applyNumberFormat="1" applyFont="1" applyFill="1" applyAlignment="1" applyProtection="1">
      <alignment horizontal="center"/>
    </xf>
    <xf numFmtId="1" fontId="64" fillId="33" borderId="0" xfId="0" applyNumberFormat="1" applyFont="1" applyFill="1" applyAlignment="1" applyProtection="1">
      <alignment horizontal="center"/>
    </xf>
    <xf numFmtId="166" fontId="79" fillId="65" borderId="70" xfId="0" applyNumberFormat="1" applyFont="1" applyFill="1" applyBorder="1" applyAlignment="1" applyProtection="1">
      <alignment horizontal="center"/>
    </xf>
    <xf numFmtId="166" fontId="79" fillId="65" borderId="71" xfId="0" applyNumberFormat="1" applyFont="1" applyFill="1" applyBorder="1" applyAlignment="1" applyProtection="1">
      <alignment horizontal="center"/>
    </xf>
    <xf numFmtId="166" fontId="79" fillId="65" borderId="72" xfId="0" applyNumberFormat="1" applyFont="1" applyFill="1" applyBorder="1" applyAlignment="1" applyProtection="1">
      <alignment horizontal="center"/>
    </xf>
    <xf numFmtId="166" fontId="85" fillId="33" borderId="0" xfId="0" applyNumberFormat="1" applyFont="1" applyFill="1" applyAlignment="1" applyProtection="1">
      <alignment horizontal="center" vertical="center"/>
    </xf>
    <xf numFmtId="1" fontId="79" fillId="62" borderId="4" xfId="0" applyNumberFormat="1" applyFont="1" applyFill="1" applyBorder="1" applyAlignment="1" applyProtection="1">
      <alignment horizontal="center" vertical="center" wrapText="1"/>
    </xf>
    <xf numFmtId="166" fontId="64" fillId="33" borderId="0" xfId="0" applyNumberFormat="1" applyFont="1" applyFill="1" applyAlignment="1" applyProtection="1">
      <alignment horizontal="left"/>
    </xf>
    <xf numFmtId="166" fontId="64" fillId="33" borderId="75" xfId="0" applyNumberFormat="1" applyFont="1" applyFill="1" applyBorder="1" applyAlignment="1" applyProtection="1">
      <alignment horizontal="center" vertical="center"/>
    </xf>
    <xf numFmtId="166" fontId="79" fillId="65" borderId="9" xfId="0" applyNumberFormat="1" applyFont="1" applyFill="1" applyBorder="1" applyAlignment="1" applyProtection="1">
      <alignment horizontal="center"/>
    </xf>
    <xf numFmtId="166" fontId="79" fillId="65" borderId="30" xfId="0" applyNumberFormat="1" applyFont="1" applyFill="1" applyBorder="1" applyAlignment="1" applyProtection="1">
      <alignment horizontal="center"/>
    </xf>
    <xf numFmtId="2" fontId="79" fillId="33" borderId="0" xfId="0" applyNumberFormat="1" applyFont="1" applyFill="1" applyAlignment="1" applyProtection="1">
      <alignment horizontal="center"/>
    </xf>
    <xf numFmtId="0" fontId="79" fillId="33" borderId="0" xfId="0" applyFont="1" applyFill="1" applyAlignment="1" applyProtection="1">
      <alignment horizontal="center"/>
    </xf>
    <xf numFmtId="0" fontId="64" fillId="62" borderId="47" xfId="0" applyFont="1" applyFill="1" applyBorder="1" applyAlignment="1" applyProtection="1">
      <alignment horizontal="center"/>
    </xf>
    <xf numFmtId="0" fontId="79" fillId="62" borderId="63" xfId="0" applyFont="1" applyFill="1" applyBorder="1" applyAlignment="1" applyProtection="1">
      <alignment horizontal="center"/>
    </xf>
    <xf numFmtId="0" fontId="79" fillId="62" borderId="47" xfId="0" applyFont="1" applyFill="1" applyBorder="1" applyAlignment="1" applyProtection="1">
      <alignment horizontal="center"/>
    </xf>
    <xf numFmtId="0" fontId="79" fillId="62" borderId="64" xfId="0" applyFont="1" applyFill="1" applyBorder="1" applyAlignment="1" applyProtection="1">
      <alignment horizontal="center"/>
    </xf>
    <xf numFmtId="209" fontId="85" fillId="61" borderId="24" xfId="0" applyNumberFormat="1" applyFont="1" applyFill="1" applyBorder="1" applyAlignment="1" applyProtection="1">
      <alignment horizontal="center"/>
    </xf>
    <xf numFmtId="166" fontId="64" fillId="33" borderId="24" xfId="0" applyNumberFormat="1" applyFont="1" applyFill="1" applyBorder="1" applyAlignment="1" applyProtection="1">
      <alignment horizontal="center"/>
    </xf>
    <xf numFmtId="166" fontId="85" fillId="33" borderId="29" xfId="0" applyNumberFormat="1" applyFont="1" applyFill="1" applyBorder="1" applyAlignment="1" applyProtection="1">
      <alignment horizontal="center"/>
    </xf>
    <xf numFmtId="209" fontId="85" fillId="61" borderId="82" xfId="0" applyNumberFormat="1" applyFont="1" applyFill="1" applyBorder="1" applyAlignment="1" applyProtection="1">
      <alignment horizontal="center"/>
    </xf>
    <xf numFmtId="166" fontId="64" fillId="33" borderId="81" xfId="0" applyNumberFormat="1" applyFont="1" applyFill="1" applyBorder="1" applyAlignment="1" applyProtection="1">
      <alignment horizontal="center"/>
    </xf>
    <xf numFmtId="166" fontId="64" fillId="33" borderId="82" xfId="0" applyNumberFormat="1" applyFont="1" applyFill="1" applyBorder="1" applyAlignment="1" applyProtection="1">
      <alignment horizontal="center"/>
    </xf>
    <xf numFmtId="166" fontId="85" fillId="33" borderId="86" xfId="0" applyNumberFormat="1" applyFont="1" applyFill="1" applyBorder="1" applyAlignment="1" applyProtection="1">
      <alignment horizontal="center"/>
    </xf>
    <xf numFmtId="209" fontId="83" fillId="61" borderId="43" xfId="0" applyNumberFormat="1" applyFont="1" applyFill="1" applyBorder="1" applyAlignment="1" applyProtection="1">
      <alignment horizontal="center"/>
    </xf>
    <xf numFmtId="166" fontId="83" fillId="33" borderId="14" xfId="0" applyNumberFormat="1" applyFont="1" applyFill="1" applyBorder="1" applyAlignment="1" applyProtection="1">
      <alignment horizontal="center"/>
    </xf>
    <xf numFmtId="166" fontId="85" fillId="33" borderId="60" xfId="0" applyNumberFormat="1" applyFont="1" applyFill="1" applyBorder="1" applyAlignment="1" applyProtection="1">
      <alignment horizontal="center"/>
    </xf>
    <xf numFmtId="166" fontId="79" fillId="33" borderId="0" xfId="0" applyNumberFormat="1" applyFont="1" applyFill="1" applyAlignment="1" applyProtection="1">
      <alignment horizontal="center"/>
    </xf>
    <xf numFmtId="166" fontId="79" fillId="33" borderId="0" xfId="0" applyNumberFormat="1" applyFont="1" applyFill="1" applyProtection="1"/>
    <xf numFmtId="0" fontId="64" fillId="62" borderId="47" xfId="0" applyFont="1" applyFill="1" applyBorder="1" applyProtection="1"/>
    <xf numFmtId="0" fontId="64" fillId="61" borderId="24" xfId="0" applyFont="1" applyFill="1" applyBorder="1" applyProtection="1"/>
    <xf numFmtId="9" fontId="64" fillId="33" borderId="29" xfId="0" applyNumberFormat="1" applyFont="1" applyFill="1" applyBorder="1" applyAlignment="1" applyProtection="1">
      <alignment horizontal="center"/>
    </xf>
    <xf numFmtId="1" fontId="64" fillId="33" borderId="0" xfId="0" applyNumberFormat="1" applyFont="1" applyFill="1" applyBorder="1" applyAlignment="1" applyProtection="1">
      <alignment horizontal="center"/>
    </xf>
    <xf numFmtId="1" fontId="64" fillId="33" borderId="29" xfId="0" applyNumberFormat="1" applyFont="1" applyFill="1" applyBorder="1" applyAlignment="1" applyProtection="1">
      <alignment horizontal="center"/>
    </xf>
    <xf numFmtId="2" fontId="79" fillId="33" borderId="0" xfId="0" applyNumberFormat="1" applyFont="1" applyFill="1" applyAlignment="1" applyProtection="1">
      <alignment horizontal="left"/>
    </xf>
    <xf numFmtId="2" fontId="79" fillId="59" borderId="97" xfId="0" applyNumberFormat="1" applyFont="1" applyFill="1" applyBorder="1" applyAlignment="1" applyProtection="1">
      <alignment horizontal="center"/>
    </xf>
    <xf numFmtId="1" fontId="79" fillId="59" borderId="97" xfId="0" applyNumberFormat="1" applyFont="1" applyFill="1" applyBorder="1" applyAlignment="1" applyProtection="1">
      <alignment horizontal="center"/>
    </xf>
    <xf numFmtId="0" fontId="64" fillId="61" borderId="43" xfId="0" applyFont="1" applyFill="1" applyBorder="1" applyProtection="1"/>
    <xf numFmtId="1" fontId="64" fillId="33" borderId="14" xfId="0" applyNumberFormat="1" applyFont="1" applyFill="1" applyBorder="1" applyAlignment="1" applyProtection="1">
      <alignment horizontal="center"/>
    </xf>
    <xf numFmtId="1" fontId="64" fillId="33" borderId="60" xfId="0" applyNumberFormat="1" applyFont="1" applyFill="1" applyBorder="1" applyAlignment="1" applyProtection="1">
      <alignment horizontal="center"/>
    </xf>
    <xf numFmtId="10" fontId="64" fillId="33" borderId="99" xfId="0" applyNumberFormat="1" applyFont="1" applyFill="1" applyBorder="1" applyAlignment="1" applyProtection="1">
      <alignment horizontal="center"/>
    </xf>
    <xf numFmtId="0" fontId="64" fillId="33" borderId="0" xfId="0" applyFont="1" applyFill="1" applyProtection="1"/>
    <xf numFmtId="1" fontId="79" fillId="33" borderId="0" xfId="0" applyNumberFormat="1" applyFont="1" applyFill="1" applyAlignment="1" applyProtection="1">
      <alignment horizontal="left"/>
    </xf>
    <xf numFmtId="166" fontId="64" fillId="33" borderId="59" xfId="0" applyNumberFormat="1" applyFont="1" applyFill="1" applyBorder="1" applyAlignment="1" applyProtection="1">
      <alignment horizontal="center"/>
    </xf>
    <xf numFmtId="166" fontId="64" fillId="33" borderId="29" xfId="0" applyNumberFormat="1" applyFont="1" applyFill="1" applyBorder="1" applyAlignment="1" applyProtection="1">
      <alignment horizontal="center"/>
    </xf>
    <xf numFmtId="2" fontId="79" fillId="70" borderId="99" xfId="0" applyNumberFormat="1" applyFont="1" applyFill="1" applyBorder="1" applyAlignment="1" applyProtection="1">
      <alignment horizontal="center"/>
    </xf>
    <xf numFmtId="2" fontId="64" fillId="33" borderId="0" xfId="0" applyNumberFormat="1" applyFont="1" applyFill="1" applyBorder="1" applyAlignment="1" applyProtection="1">
      <alignment horizontal="center"/>
    </xf>
    <xf numFmtId="2" fontId="64" fillId="33" borderId="29" xfId="0" applyNumberFormat="1" applyFont="1" applyFill="1" applyBorder="1" applyAlignment="1" applyProtection="1">
      <alignment horizontal="center"/>
    </xf>
    <xf numFmtId="2" fontId="64" fillId="33" borderId="98" xfId="0" applyNumberFormat="1" applyFont="1" applyFill="1" applyBorder="1" applyAlignment="1" applyProtection="1">
      <alignment horizontal="center"/>
    </xf>
    <xf numFmtId="206" fontId="64" fillId="33" borderId="29" xfId="0" applyNumberFormat="1" applyFont="1" applyFill="1" applyBorder="1" applyAlignment="1" applyProtection="1">
      <alignment horizontal="center"/>
    </xf>
    <xf numFmtId="0" fontId="64" fillId="61" borderId="82" xfId="0" applyFont="1" applyFill="1" applyBorder="1" applyProtection="1"/>
    <xf numFmtId="206" fontId="64" fillId="33" borderId="81" xfId="0" applyNumberFormat="1" applyFont="1" applyFill="1" applyBorder="1" applyAlignment="1" applyProtection="1">
      <alignment horizontal="center"/>
    </xf>
    <xf numFmtId="206" fontId="64" fillId="33" borderId="83" xfId="0" applyNumberFormat="1" applyFont="1" applyFill="1" applyBorder="1" applyAlignment="1" applyProtection="1">
      <alignment horizontal="center"/>
    </xf>
    <xf numFmtId="2" fontId="64" fillId="33" borderId="85" xfId="0" applyNumberFormat="1" applyFont="1" applyFill="1" applyBorder="1" applyAlignment="1" applyProtection="1">
      <alignment horizontal="center"/>
    </xf>
    <xf numFmtId="0" fontId="79" fillId="61" borderId="43" xfId="0" applyFont="1" applyFill="1" applyBorder="1" applyProtection="1"/>
    <xf numFmtId="206" fontId="79" fillId="33" borderId="14" xfId="0" applyNumberFormat="1" applyFont="1" applyFill="1" applyBorder="1" applyAlignment="1" applyProtection="1">
      <alignment horizontal="center"/>
    </xf>
    <xf numFmtId="166" fontId="79" fillId="33" borderId="14" xfId="0" applyNumberFormat="1" applyFont="1" applyFill="1" applyBorder="1" applyAlignment="1" applyProtection="1">
      <alignment horizontal="center"/>
    </xf>
    <xf numFmtId="166" fontId="79" fillId="33" borderId="60" xfId="0" applyNumberFormat="1" applyFont="1" applyFill="1" applyBorder="1" applyAlignment="1" applyProtection="1">
      <alignment horizontal="center"/>
    </xf>
    <xf numFmtId="1" fontId="79" fillId="33" borderId="0" xfId="0" applyNumberFormat="1" applyFont="1" applyFill="1" applyAlignment="1" applyProtection="1">
      <alignment horizontal="center"/>
    </xf>
    <xf numFmtId="2" fontId="64" fillId="33" borderId="0" xfId="0" applyNumberFormat="1" applyFont="1" applyFill="1" applyAlignment="1" applyProtection="1">
      <alignment horizontal="left"/>
    </xf>
    <xf numFmtId="2" fontId="79" fillId="70" borderId="84" xfId="0" applyNumberFormat="1" applyFont="1" applyFill="1" applyBorder="1" applyAlignment="1" applyProtection="1">
      <alignment horizontal="center"/>
    </xf>
    <xf numFmtId="2" fontId="79" fillId="70" borderId="25" xfId="0" applyNumberFormat="1" applyFont="1" applyFill="1" applyBorder="1" applyAlignment="1" applyProtection="1">
      <alignment horizontal="center"/>
    </xf>
    <xf numFmtId="2" fontId="64" fillId="33" borderId="24" xfId="0" applyNumberFormat="1" applyFont="1" applyFill="1" applyBorder="1" applyAlignment="1" applyProtection="1">
      <alignment horizontal="center"/>
    </xf>
    <xf numFmtId="2" fontId="64" fillId="33" borderId="96" xfId="0" applyNumberFormat="1" applyFont="1" applyFill="1" applyBorder="1" applyAlignment="1" applyProtection="1">
      <alignment horizontal="center"/>
    </xf>
    <xf numFmtId="2" fontId="64" fillId="33" borderId="25" xfId="0" applyNumberFormat="1" applyFont="1" applyFill="1" applyBorder="1" applyAlignment="1" applyProtection="1">
      <alignment horizontal="center"/>
    </xf>
    <xf numFmtId="2" fontId="64" fillId="33" borderId="84" xfId="0" applyNumberFormat="1" applyFont="1" applyFill="1" applyBorder="1" applyAlignment="1" applyProtection="1">
      <alignment horizontal="center"/>
    </xf>
    <xf numFmtId="0" fontId="79" fillId="33" borderId="0" xfId="0" applyFont="1" applyFill="1" applyBorder="1" applyAlignment="1" applyProtection="1">
      <alignment horizontal="left" indent="2"/>
    </xf>
    <xf numFmtId="166" fontId="79" fillId="33" borderId="0" xfId="0" applyNumberFormat="1" applyFont="1" applyFill="1" applyBorder="1" applyAlignment="1" applyProtection="1">
      <alignment horizontal="center"/>
    </xf>
    <xf numFmtId="0" fontId="64" fillId="61" borderId="69" xfId="0" applyFont="1" applyFill="1" applyBorder="1" applyProtection="1"/>
    <xf numFmtId="0" fontId="79" fillId="33" borderId="0" xfId="0" applyFont="1" applyFill="1" applyBorder="1" applyProtection="1"/>
    <xf numFmtId="2" fontId="64" fillId="70" borderId="84" xfId="0" applyNumberFormat="1" applyFont="1" applyFill="1" applyBorder="1" applyAlignment="1" applyProtection="1">
      <alignment horizontal="center"/>
    </xf>
    <xf numFmtId="2" fontId="64" fillId="70" borderId="25" xfId="0" applyNumberFormat="1" applyFont="1" applyFill="1" applyBorder="1" applyAlignment="1" applyProtection="1">
      <alignment horizontal="center"/>
    </xf>
    <xf numFmtId="0" fontId="64" fillId="65" borderId="5" xfId="0" applyFont="1" applyFill="1" applyBorder="1" applyProtection="1"/>
    <xf numFmtId="0" fontId="64" fillId="65" borderId="0" xfId="0" applyFont="1" applyFill="1" applyBorder="1" applyProtection="1"/>
    <xf numFmtId="9" fontId="64" fillId="33" borderId="98" xfId="0" applyNumberFormat="1" applyFont="1" applyFill="1" applyBorder="1" applyAlignment="1" applyProtection="1">
      <alignment horizontal="center"/>
    </xf>
    <xf numFmtId="9" fontId="64" fillId="33" borderId="85" xfId="0" applyNumberFormat="1" applyFont="1" applyFill="1" applyBorder="1" applyAlignment="1" applyProtection="1">
      <alignment horizontal="center"/>
    </xf>
    <xf numFmtId="0" fontId="79" fillId="61" borderId="92" xfId="0" applyFont="1" applyFill="1" applyBorder="1" applyProtection="1"/>
    <xf numFmtId="166" fontId="79" fillId="33" borderId="93" xfId="0" applyNumberFormat="1" applyFont="1" applyFill="1" applyBorder="1" applyAlignment="1" applyProtection="1">
      <alignment horizontal="center"/>
    </xf>
    <xf numFmtId="166" fontId="79" fillId="33" borderId="91" xfId="0" applyNumberFormat="1" applyFont="1" applyFill="1" applyBorder="1" applyAlignment="1" applyProtection="1">
      <alignment horizontal="center"/>
    </xf>
    <xf numFmtId="166" fontId="83" fillId="65" borderId="90" xfId="0" applyNumberFormat="1" applyFont="1" applyFill="1" applyBorder="1" applyAlignment="1" applyProtection="1">
      <alignment horizontal="center"/>
    </xf>
    <xf numFmtId="206" fontId="83" fillId="65" borderId="116" xfId="0" applyNumberFormat="1" applyFont="1" applyFill="1" applyBorder="1" applyAlignment="1" applyProtection="1">
      <alignment horizontal="center"/>
    </xf>
    <xf numFmtId="0" fontId="64" fillId="61" borderId="89" xfId="0" applyFont="1" applyFill="1" applyBorder="1" applyAlignment="1" applyProtection="1">
      <alignment horizontal="left" vertical="center" indent="2"/>
    </xf>
    <xf numFmtId="0" fontId="64" fillId="61" borderId="115" xfId="0" applyFont="1" applyFill="1" applyBorder="1" applyAlignment="1" applyProtection="1">
      <alignment horizontal="left" vertical="center" indent="2"/>
    </xf>
    <xf numFmtId="166" fontId="64" fillId="33" borderId="108" xfId="0" applyNumberFormat="1" applyFont="1" applyFill="1" applyBorder="1" applyAlignment="1" applyProtection="1">
      <alignment horizontal="center"/>
    </xf>
    <xf numFmtId="166" fontId="64" fillId="33" borderId="77" xfId="0" applyNumberFormat="1" applyFont="1" applyFill="1" applyBorder="1" applyAlignment="1" applyProtection="1">
      <alignment horizontal="center"/>
    </xf>
    <xf numFmtId="166" fontId="64" fillId="33" borderId="76" xfId="0" applyNumberFormat="1" applyFont="1" applyFill="1" applyBorder="1" applyAlignment="1" applyProtection="1">
      <alignment horizontal="center"/>
    </xf>
    <xf numFmtId="166" fontId="83" fillId="65" borderId="79" xfId="0" applyNumberFormat="1" applyFont="1" applyFill="1" applyBorder="1" applyAlignment="1" applyProtection="1">
      <alignment horizontal="center"/>
    </xf>
    <xf numFmtId="166" fontId="64" fillId="33" borderId="0" xfId="0" applyNumberFormat="1" applyFont="1" applyFill="1" applyBorder="1" applyAlignment="1" applyProtection="1">
      <alignment horizontal="right"/>
    </xf>
    <xf numFmtId="166" fontId="64" fillId="62" borderId="78" xfId="0" applyNumberFormat="1" applyFont="1" applyFill="1" applyBorder="1" applyAlignment="1" applyProtection="1">
      <alignment horizontal="center"/>
    </xf>
    <xf numFmtId="210" fontId="73" fillId="33" borderId="26" xfId="0" applyNumberFormat="1" applyFont="1" applyFill="1" applyBorder="1" applyAlignment="1">
      <alignment horizontal="center" vertical="center"/>
    </xf>
    <xf numFmtId="210" fontId="73" fillId="33" borderId="108" xfId="6" applyNumberFormat="1" applyFont="1" applyFill="1" applyBorder="1" applyAlignment="1">
      <alignment horizontal="center"/>
    </xf>
    <xf numFmtId="0" fontId="97" fillId="33" borderId="0" xfId="886" applyFill="1" applyAlignment="1" applyProtection="1">
      <alignment horizontal="center"/>
    </xf>
    <xf numFmtId="0" fontId="1" fillId="60" borderId="4" xfId="0" applyFont="1" applyFill="1" applyBorder="1" applyAlignment="1" applyProtection="1">
      <alignment horizontal="center"/>
    </xf>
    <xf numFmtId="168" fontId="64" fillId="71" borderId="24" xfId="844" applyNumberFormat="1" applyFont="1" applyFill="1" applyBorder="1" applyAlignment="1">
      <alignment horizontal="center"/>
    </xf>
    <xf numFmtId="0" fontId="1" fillId="59" borderId="88" xfId="0" applyFont="1" applyFill="1" applyBorder="1" applyAlignment="1" applyProtection="1">
      <alignment horizontal="left" vertical="center" indent="1"/>
    </xf>
    <xf numFmtId="1" fontId="65" fillId="71" borderId="28" xfId="0" applyNumberFormat="1" applyFont="1" applyFill="1" applyBorder="1" applyAlignment="1" applyProtection="1">
      <alignment horizontal="center" vertical="center"/>
      <protection locked="0"/>
    </xf>
    <xf numFmtId="0" fontId="65" fillId="71" borderId="28" xfId="843" applyNumberFormat="1" applyFont="1" applyFill="1" applyBorder="1" applyAlignment="1" applyProtection="1">
      <alignment horizontal="center"/>
      <protection locked="0"/>
    </xf>
    <xf numFmtId="0" fontId="65" fillId="71" borderId="30" xfId="843" applyNumberFormat="1" applyFont="1" applyFill="1" applyBorder="1" applyAlignment="1" applyProtection="1">
      <alignment horizontal="center"/>
      <protection locked="0"/>
    </xf>
    <xf numFmtId="206" fontId="69" fillId="71" borderId="30" xfId="5" applyNumberFormat="1" applyFont="1" applyFill="1" applyBorder="1" applyAlignment="1" applyProtection="1">
      <alignment horizontal="center"/>
      <protection locked="0"/>
    </xf>
    <xf numFmtId="9" fontId="69" fillId="71" borderId="28" xfId="843" applyNumberFormat="1" applyFont="1" applyFill="1" applyBorder="1" applyAlignment="1" applyProtection="1">
      <alignment horizontal="center"/>
      <protection locked="0"/>
    </xf>
    <xf numFmtId="9" fontId="65" fillId="71" borderId="1" xfId="6" applyNumberFormat="1" applyFont="1" applyFill="1" applyBorder="1" applyAlignment="1" applyProtection="1">
      <alignment horizontal="center" vertical="center"/>
      <protection locked="0"/>
    </xf>
    <xf numFmtId="0" fontId="65" fillId="71" borderId="9" xfId="6" applyNumberFormat="1" applyFont="1" applyFill="1" applyBorder="1" applyAlignment="1" applyProtection="1">
      <alignment horizontal="center" vertical="center"/>
      <protection locked="0"/>
    </xf>
    <xf numFmtId="8" fontId="65" fillId="71" borderId="28" xfId="0" applyNumberFormat="1" applyFont="1" applyFill="1" applyBorder="1" applyAlignment="1" applyProtection="1">
      <alignment horizontal="center"/>
      <protection locked="0"/>
    </xf>
    <xf numFmtId="8" fontId="65" fillId="71" borderId="75" xfId="0" applyNumberFormat="1" applyFont="1" applyFill="1" applyBorder="1" applyAlignment="1" applyProtection="1">
      <alignment horizontal="center"/>
      <protection locked="0"/>
    </xf>
    <xf numFmtId="8" fontId="65" fillId="71" borderId="77" xfId="0" applyNumberFormat="1" applyFont="1" applyFill="1" applyBorder="1" applyAlignment="1" applyProtection="1">
      <alignment horizontal="center"/>
      <protection locked="0"/>
    </xf>
    <xf numFmtId="8" fontId="65" fillId="71" borderId="77" xfId="0" applyNumberFormat="1" applyFont="1" applyFill="1" applyBorder="1" applyAlignment="1" applyProtection="1">
      <alignment horizontal="center" vertical="center"/>
      <protection locked="0"/>
    </xf>
    <xf numFmtId="9" fontId="94" fillId="71" borderId="28" xfId="843" applyNumberFormat="1" applyFont="1" applyFill="1" applyBorder="1" applyAlignment="1" applyProtection="1">
      <alignment horizontal="center"/>
      <protection locked="0"/>
    </xf>
    <xf numFmtId="9" fontId="71" fillId="71" borderId="26" xfId="843" applyNumberFormat="1" applyFont="1" applyFill="1" applyBorder="1" applyAlignment="1" applyProtection="1">
      <alignment horizontal="center" vertical="center"/>
      <protection locked="0"/>
    </xf>
    <xf numFmtId="8" fontId="0" fillId="33" borderId="1" xfId="0" applyNumberFormat="1" applyFont="1" applyFill="1" applyBorder="1" applyAlignment="1" applyProtection="1">
      <alignment horizontal="center"/>
    </xf>
    <xf numFmtId="8" fontId="0" fillId="33" borderId="74" xfId="0" applyNumberFormat="1" applyFont="1" applyFill="1" applyBorder="1" applyAlignment="1" applyProtection="1">
      <alignment horizontal="center"/>
    </xf>
    <xf numFmtId="2" fontId="65" fillId="71" borderId="1" xfId="0" applyNumberFormat="1" applyFont="1" applyFill="1" applyBorder="1" applyAlignment="1" applyProtection="1">
      <alignment horizontal="center"/>
      <protection locked="0"/>
    </xf>
    <xf numFmtId="2" fontId="65" fillId="71" borderId="9" xfId="0" applyNumberFormat="1" applyFont="1" applyFill="1" applyBorder="1" applyAlignment="1" applyProtection="1">
      <alignment horizontal="center"/>
      <protection locked="0"/>
    </xf>
    <xf numFmtId="166" fontId="65" fillId="71" borderId="1" xfId="0" applyNumberFormat="1" applyFont="1" applyFill="1" applyBorder="1" applyAlignment="1" applyProtection="1">
      <alignment horizontal="center"/>
      <protection locked="0"/>
    </xf>
    <xf numFmtId="166" fontId="65" fillId="71" borderId="74" xfId="0" applyNumberFormat="1" applyFont="1" applyFill="1" applyBorder="1" applyAlignment="1" applyProtection="1">
      <alignment horizontal="center"/>
      <protection locked="0"/>
    </xf>
    <xf numFmtId="166" fontId="93" fillId="71" borderId="94" xfId="0" applyNumberFormat="1" applyFont="1" applyFill="1" applyBorder="1" applyAlignment="1" applyProtection="1">
      <alignment horizontal="center"/>
      <protection locked="0"/>
    </xf>
    <xf numFmtId="166" fontId="65" fillId="0" borderId="1" xfId="0" applyNumberFormat="1" applyFont="1" applyFill="1" applyBorder="1" applyAlignment="1" applyProtection="1">
      <alignment horizontal="center"/>
      <protection locked="0"/>
    </xf>
    <xf numFmtId="166" fontId="65" fillId="0" borderId="74" xfId="0" applyNumberFormat="1" applyFont="1" applyFill="1" applyBorder="1" applyAlignment="1" applyProtection="1">
      <alignment horizontal="center"/>
      <protection locked="0"/>
    </xf>
    <xf numFmtId="169" fontId="65" fillId="71" borderId="99" xfId="0" applyNumberFormat="1" applyFont="1" applyFill="1" applyBorder="1" applyAlignment="1" applyProtection="1">
      <alignment horizontal="center" vertical="center"/>
      <protection locked="0"/>
    </xf>
    <xf numFmtId="169" fontId="65" fillId="71" borderId="74" xfId="0" applyNumberFormat="1" applyFont="1" applyFill="1" applyBorder="1" applyAlignment="1" applyProtection="1">
      <alignment horizontal="center" vertical="center"/>
      <protection locked="0"/>
    </xf>
    <xf numFmtId="169" fontId="79" fillId="59" borderId="90" xfId="0" applyNumberFormat="1" applyFont="1" applyFill="1" applyBorder="1" applyAlignment="1" applyProtection="1">
      <alignment horizontal="center" vertical="center"/>
    </xf>
    <xf numFmtId="206" fontId="0" fillId="33" borderId="0" xfId="0" applyNumberFormat="1" applyFont="1" applyFill="1" applyProtection="1"/>
    <xf numFmtId="0" fontId="0" fillId="33" borderId="0" xfId="0" applyFont="1" applyFill="1" applyAlignment="1" applyProtection="1">
      <alignment horizontal="center"/>
    </xf>
    <xf numFmtId="206" fontId="3" fillId="33" borderId="0" xfId="0" applyNumberFormat="1" applyFont="1" applyFill="1" applyAlignment="1" applyProtection="1">
      <alignment horizontal="center"/>
    </xf>
    <xf numFmtId="0" fontId="80" fillId="33" borderId="0" xfId="0" applyFont="1" applyFill="1" applyAlignment="1" applyProtection="1">
      <alignment horizontal="center" wrapText="1"/>
    </xf>
    <xf numFmtId="8" fontId="65" fillId="71" borderId="30" xfId="0" applyNumberFormat="1" applyFont="1" applyFill="1" applyBorder="1" applyAlignment="1" applyProtection="1">
      <alignment horizontal="center"/>
      <protection locked="0"/>
    </xf>
    <xf numFmtId="0" fontId="1" fillId="60" borderId="4" xfId="0" applyFont="1" applyFill="1" applyBorder="1" applyAlignment="1" applyProtection="1">
      <alignment horizontal="center" wrapText="1"/>
    </xf>
    <xf numFmtId="0" fontId="1" fillId="60" borderId="64" xfId="0" applyFont="1" applyFill="1" applyBorder="1" applyAlignment="1" applyProtection="1">
      <alignment horizontal="center" wrapText="1"/>
    </xf>
    <xf numFmtId="0" fontId="1" fillId="60" borderId="62" xfId="0" applyFont="1" applyFill="1" applyBorder="1" applyAlignment="1" applyProtection="1">
      <alignment horizontal="center" wrapText="1"/>
    </xf>
    <xf numFmtId="210" fontId="3" fillId="33" borderId="0" xfId="0" applyNumberFormat="1" applyFont="1" applyFill="1" applyAlignment="1" applyProtection="1">
      <alignment horizontal="center"/>
    </xf>
    <xf numFmtId="210" fontId="0" fillId="33" borderId="0" xfId="0" applyNumberFormat="1" applyFont="1" applyFill="1" applyAlignment="1" applyProtection="1">
      <alignment horizontal="center"/>
    </xf>
    <xf numFmtId="8" fontId="0" fillId="0" borderId="117" xfId="0" applyNumberFormat="1" applyFont="1" applyBorder="1" applyAlignment="1">
      <alignment horizontal="center"/>
    </xf>
    <xf numFmtId="206" fontId="69" fillId="71" borderId="28" xfId="5" applyNumberFormat="1" applyFont="1" applyFill="1" applyBorder="1" applyAlignment="1" applyProtection="1">
      <alignment horizontal="center"/>
      <protection locked="0"/>
    </xf>
    <xf numFmtId="0" fontId="0" fillId="33" borderId="0" xfId="0" applyFill="1" applyBorder="1" applyAlignment="1" applyProtection="1">
      <alignment horizontal="center"/>
    </xf>
    <xf numFmtId="2" fontId="0" fillId="33" borderId="0" xfId="0" applyNumberFormat="1" applyFill="1" applyBorder="1" applyAlignment="1" applyProtection="1">
      <alignment horizontal="center"/>
    </xf>
    <xf numFmtId="0" fontId="0" fillId="67" borderId="0" xfId="0" applyFill="1" applyBorder="1" applyAlignment="1" applyProtection="1">
      <alignment horizontal="center" vertical="top" wrapText="1"/>
    </xf>
    <xf numFmtId="210" fontId="0" fillId="67" borderId="0" xfId="0" applyNumberFormat="1" applyFill="1" applyBorder="1" applyAlignment="1" applyProtection="1">
      <alignment horizontal="center" vertical="top" wrapText="1"/>
    </xf>
    <xf numFmtId="210" fontId="64" fillId="33" borderId="28" xfId="0" applyNumberFormat="1" applyFont="1" applyFill="1" applyBorder="1" applyAlignment="1" applyProtection="1">
      <alignment horizontal="center"/>
    </xf>
    <xf numFmtId="0" fontId="79" fillId="61" borderId="68" xfId="0" applyFont="1" applyFill="1" applyBorder="1" applyAlignment="1">
      <alignment horizontal="left"/>
    </xf>
    <xf numFmtId="0" fontId="79" fillId="61" borderId="47" xfId="0" applyFont="1" applyFill="1" applyBorder="1" applyAlignment="1">
      <alignment horizontal="left"/>
    </xf>
    <xf numFmtId="0" fontId="79" fillId="61" borderId="109" xfId="0" applyFont="1" applyFill="1" applyBorder="1" applyAlignment="1">
      <alignment horizontal="left"/>
    </xf>
    <xf numFmtId="0" fontId="98" fillId="33" borderId="0" xfId="0" applyFont="1" applyFill="1" applyAlignment="1">
      <alignment horizontal="center"/>
    </xf>
    <xf numFmtId="0" fontId="1" fillId="33" borderId="0" xfId="0" applyFont="1" applyFill="1" applyAlignment="1">
      <alignment horizontal="center"/>
    </xf>
    <xf numFmtId="0" fontId="0" fillId="33" borderId="0" xfId="0" applyFill="1" applyAlignment="1">
      <alignment horizontal="left" vertical="top" wrapText="1"/>
    </xf>
    <xf numFmtId="0" fontId="67" fillId="61" borderId="8" xfId="843" applyNumberFormat="1" applyFont="1" applyFill="1" applyBorder="1" applyAlignment="1" applyProtection="1">
      <alignment horizontal="left" indent="2"/>
    </xf>
    <xf numFmtId="0" fontId="67" fillId="61" borderId="9" xfId="843" applyNumberFormat="1" applyFont="1" applyFill="1" applyBorder="1" applyAlignment="1" applyProtection="1">
      <alignment horizontal="left" indent="2"/>
    </xf>
    <xf numFmtId="0" fontId="0" fillId="61" borderId="31" xfId="0" applyFont="1" applyFill="1" applyBorder="1" applyAlignment="1" applyProtection="1">
      <alignment horizontal="left" indent="1"/>
    </xf>
    <xf numFmtId="0" fontId="0" fillId="61" borderId="109" xfId="0" applyFont="1" applyFill="1" applyBorder="1" applyAlignment="1" applyProtection="1">
      <alignment horizontal="left" indent="1"/>
    </xf>
    <xf numFmtId="0" fontId="0" fillId="61" borderId="89" xfId="0" applyFont="1" applyFill="1" applyBorder="1" applyAlignment="1" applyProtection="1">
      <alignment horizontal="left" indent="1"/>
    </xf>
    <xf numFmtId="0" fontId="0" fillId="61" borderId="115" xfId="0" applyFont="1" applyFill="1" applyBorder="1" applyAlignment="1" applyProtection="1">
      <alignment horizontal="left" indent="1"/>
    </xf>
    <xf numFmtId="0" fontId="1" fillId="60" borderId="62" xfId="0" applyFont="1" applyFill="1" applyBorder="1" applyAlignment="1" applyProtection="1">
      <alignment horizontal="center" vertical="center"/>
    </xf>
    <xf numFmtId="0" fontId="1" fillId="60" borderId="63" xfId="0" applyFont="1" applyFill="1" applyBorder="1" applyAlignment="1" applyProtection="1">
      <alignment horizontal="center" vertical="center"/>
    </xf>
    <xf numFmtId="0" fontId="1" fillId="60" borderId="64" xfId="0" applyFont="1" applyFill="1" applyBorder="1" applyAlignment="1" applyProtection="1">
      <alignment horizontal="center" vertical="center"/>
    </xf>
    <xf numFmtId="0" fontId="1" fillId="60" borderId="62" xfId="0" applyFont="1" applyFill="1" applyBorder="1" applyAlignment="1" applyProtection="1">
      <alignment horizontal="center"/>
    </xf>
    <xf numFmtId="0" fontId="1" fillId="60" borderId="47" xfId="0" applyFont="1" applyFill="1" applyBorder="1" applyAlignment="1" applyProtection="1">
      <alignment horizontal="center"/>
    </xf>
    <xf numFmtId="0" fontId="0" fillId="61" borderId="62" xfId="0" applyFont="1" applyFill="1" applyBorder="1" applyAlignment="1" applyProtection="1">
      <alignment horizontal="left" vertical="center" indent="2"/>
    </xf>
    <xf numFmtId="0" fontId="0" fillId="61" borderId="47" xfId="0" applyFont="1" applyFill="1" applyBorder="1" applyAlignment="1" applyProtection="1">
      <alignment horizontal="left" vertical="center" indent="2"/>
    </xf>
    <xf numFmtId="0" fontId="0" fillId="61" borderId="31" xfId="0" applyFont="1" applyFill="1" applyBorder="1" applyAlignment="1" applyProtection="1">
      <alignment horizontal="left" vertical="center" indent="2"/>
    </xf>
    <xf numFmtId="0" fontId="0" fillId="61" borderId="109" xfId="0" applyFont="1" applyFill="1" applyBorder="1" applyAlignment="1" applyProtection="1">
      <alignment horizontal="left" vertical="center" indent="2"/>
    </xf>
    <xf numFmtId="0" fontId="0" fillId="61" borderId="65" xfId="0" applyFont="1" applyFill="1" applyBorder="1" applyAlignment="1" applyProtection="1">
      <alignment horizontal="left" indent="1"/>
    </xf>
    <xf numFmtId="0" fontId="0" fillId="61" borderId="68" xfId="0" applyFont="1" applyFill="1" applyBorder="1" applyAlignment="1" applyProtection="1">
      <alignment horizontal="left" indent="1"/>
    </xf>
    <xf numFmtId="0" fontId="67" fillId="61" borderId="65" xfId="843" applyNumberFormat="1" applyFont="1" applyFill="1" applyBorder="1" applyAlignment="1" applyProtection="1">
      <alignment horizontal="left" indent="2"/>
    </xf>
    <xf numFmtId="0" fontId="67" fillId="61" borderId="68" xfId="843" applyNumberFormat="1" applyFont="1" applyFill="1" applyBorder="1" applyAlignment="1" applyProtection="1">
      <alignment horizontal="left" indent="2"/>
    </xf>
    <xf numFmtId="0" fontId="67" fillId="61" borderId="31" xfId="843" applyNumberFormat="1" applyFont="1" applyFill="1" applyBorder="1" applyAlignment="1" applyProtection="1">
      <alignment horizontal="left" vertical="center" indent="1"/>
    </xf>
    <xf numFmtId="0" fontId="67" fillId="61" borderId="10" xfId="843" applyNumberFormat="1" applyFont="1" applyFill="1" applyBorder="1" applyAlignment="1" applyProtection="1">
      <alignment horizontal="left" vertical="center" indent="1"/>
    </xf>
    <xf numFmtId="0" fontId="67" fillId="61" borderId="31" xfId="843" applyNumberFormat="1" applyFont="1" applyFill="1" applyBorder="1" applyAlignment="1" applyProtection="1">
      <alignment horizontal="left" indent="2"/>
    </xf>
    <xf numFmtId="0" fontId="67" fillId="61" borderId="10" xfId="843" applyNumberFormat="1" applyFont="1" applyFill="1" applyBorder="1" applyAlignment="1" applyProtection="1">
      <alignment horizontal="left" indent="2"/>
    </xf>
    <xf numFmtId="0" fontId="1" fillId="60" borderId="7" xfId="0" applyFont="1" applyFill="1" applyBorder="1" applyAlignment="1" applyProtection="1">
      <alignment horizontal="center"/>
    </xf>
    <xf numFmtId="0" fontId="1" fillId="60" borderId="4" xfId="0" applyFont="1" applyFill="1" applyBorder="1" applyAlignment="1" applyProtection="1">
      <alignment horizontal="center"/>
    </xf>
    <xf numFmtId="0" fontId="1" fillId="60" borderId="26" xfId="0" applyFont="1" applyFill="1" applyBorder="1" applyAlignment="1" applyProtection="1">
      <alignment horizontal="center"/>
    </xf>
    <xf numFmtId="0" fontId="67" fillId="61" borderId="109" xfId="843" applyNumberFormat="1" applyFont="1" applyFill="1" applyBorder="1" applyAlignment="1" applyProtection="1">
      <alignment horizontal="left" indent="2"/>
    </xf>
    <xf numFmtId="0" fontId="67" fillId="61" borderId="109" xfId="843" applyNumberFormat="1" applyFont="1" applyFill="1" applyBorder="1" applyAlignment="1" applyProtection="1">
      <alignment horizontal="left" vertical="center" indent="1"/>
    </xf>
    <xf numFmtId="0" fontId="67" fillId="61" borderId="65" xfId="843" applyNumberFormat="1" applyFont="1" applyFill="1" applyBorder="1" applyAlignment="1" applyProtection="1">
      <alignment horizontal="left" indent="1"/>
    </xf>
    <xf numFmtId="0" fontId="67" fillId="61" borderId="68" xfId="843" applyNumberFormat="1" applyFont="1" applyFill="1" applyBorder="1" applyAlignment="1" applyProtection="1">
      <alignment horizontal="left" indent="1"/>
    </xf>
    <xf numFmtId="0" fontId="67" fillId="61" borderId="31" xfId="843" applyNumberFormat="1" applyFont="1" applyFill="1" applyBorder="1" applyAlignment="1" applyProtection="1">
      <alignment vertical="center"/>
    </xf>
    <xf numFmtId="0" fontId="67" fillId="61" borderId="10" xfId="843" applyNumberFormat="1" applyFont="1" applyFill="1" applyBorder="1" applyAlignment="1" applyProtection="1">
      <alignment vertical="center"/>
    </xf>
    <xf numFmtId="0" fontId="75" fillId="60" borderId="62" xfId="843" applyNumberFormat="1" applyFont="1" applyFill="1" applyBorder="1" applyAlignment="1" applyProtection="1">
      <alignment horizontal="center"/>
    </xf>
    <xf numFmtId="0" fontId="75" fillId="60" borderId="47" xfId="843" applyNumberFormat="1" applyFont="1" applyFill="1" applyBorder="1" applyAlignment="1" applyProtection="1">
      <alignment horizontal="center"/>
    </xf>
    <xf numFmtId="0" fontId="79" fillId="67" borderId="0" xfId="0" applyFont="1" applyFill="1" applyBorder="1" applyAlignment="1" applyProtection="1">
      <alignment horizontal="left" vertical="top" wrapText="1"/>
    </xf>
    <xf numFmtId="0" fontId="79" fillId="67" borderId="29" xfId="0" applyFont="1" applyFill="1" applyBorder="1" applyAlignment="1" applyProtection="1">
      <alignment horizontal="left" vertical="top" wrapText="1"/>
    </xf>
    <xf numFmtId="0" fontId="1" fillId="60" borderId="63" xfId="0" applyFont="1" applyFill="1" applyBorder="1" applyAlignment="1" applyProtection="1">
      <alignment horizontal="center"/>
    </xf>
    <xf numFmtId="0" fontId="75" fillId="60" borderId="7" xfId="843" applyNumberFormat="1" applyFont="1" applyFill="1" applyBorder="1" applyAlignment="1" applyProtection="1">
      <alignment horizontal="center"/>
    </xf>
    <xf numFmtId="0" fontId="75" fillId="60" borderId="4" xfId="843" applyNumberFormat="1" applyFont="1" applyFill="1" applyBorder="1" applyAlignment="1" applyProtection="1">
      <alignment horizontal="center"/>
    </xf>
    <xf numFmtId="0" fontId="75" fillId="60" borderId="26" xfId="843" applyNumberFormat="1" applyFont="1" applyFill="1" applyBorder="1" applyAlignment="1" applyProtection="1">
      <alignment horizontal="center"/>
    </xf>
    <xf numFmtId="0" fontId="0" fillId="61" borderId="10" xfId="0" applyFont="1" applyFill="1" applyBorder="1" applyAlignment="1" applyProtection="1">
      <alignment horizontal="left" vertical="center" indent="2"/>
    </xf>
    <xf numFmtId="0" fontId="0" fillId="61" borderId="65" xfId="0" applyFont="1" applyFill="1" applyBorder="1" applyAlignment="1" applyProtection="1">
      <alignment horizontal="left" vertical="center" indent="2"/>
    </xf>
    <xf numFmtId="0" fontId="0" fillId="61" borderId="68" xfId="0" applyFont="1" applyFill="1" applyBorder="1" applyAlignment="1" applyProtection="1">
      <alignment horizontal="left" vertical="center" indent="2"/>
    </xf>
    <xf numFmtId="0" fontId="90" fillId="66" borderId="2" xfId="0" applyFont="1" applyFill="1" applyBorder="1" applyAlignment="1" applyProtection="1">
      <alignment horizontal="left" vertical="top" wrapText="1"/>
    </xf>
    <xf numFmtId="0" fontId="90" fillId="66" borderId="3" xfId="0" applyFont="1" applyFill="1" applyBorder="1" applyAlignment="1" applyProtection="1">
      <alignment horizontal="left" vertical="top" wrapText="1"/>
    </xf>
    <xf numFmtId="0" fontId="90" fillId="66" borderId="58" xfId="0" applyFont="1" applyFill="1" applyBorder="1" applyAlignment="1" applyProtection="1">
      <alignment horizontal="left" vertical="top" wrapText="1"/>
    </xf>
    <xf numFmtId="0" fontId="90" fillId="66" borderId="5" xfId="0" applyFont="1" applyFill="1" applyBorder="1" applyAlignment="1" applyProtection="1">
      <alignment horizontal="left" vertical="top" wrapText="1"/>
    </xf>
    <xf numFmtId="0" fontId="90" fillId="66" borderId="0" xfId="0" applyFont="1" applyFill="1" applyBorder="1" applyAlignment="1" applyProtection="1">
      <alignment horizontal="left" vertical="top" wrapText="1"/>
    </xf>
    <xf numFmtId="0" fontId="90" fillId="66" borderId="29" xfId="0" applyFont="1" applyFill="1" applyBorder="1" applyAlignment="1" applyProtection="1">
      <alignment horizontal="left" vertical="top" wrapText="1"/>
    </xf>
    <xf numFmtId="0" fontId="90" fillId="66" borderId="42" xfId="0" applyFont="1" applyFill="1" applyBorder="1" applyAlignment="1" applyProtection="1">
      <alignment horizontal="left" vertical="top" wrapText="1"/>
    </xf>
    <xf numFmtId="0" fontId="90" fillId="66" borderId="14" xfId="0" applyFont="1" applyFill="1" applyBorder="1" applyAlignment="1" applyProtection="1">
      <alignment horizontal="left" vertical="top" wrapText="1"/>
    </xf>
    <xf numFmtId="0" fontId="90" fillId="66" borderId="60" xfId="0" applyFont="1" applyFill="1" applyBorder="1" applyAlignment="1" applyProtection="1">
      <alignment horizontal="left" vertical="top" wrapText="1"/>
    </xf>
    <xf numFmtId="0" fontId="67" fillId="61" borderId="7" xfId="843" applyNumberFormat="1" applyFont="1" applyFill="1" applyBorder="1" applyAlignment="1" applyProtection="1">
      <alignment horizontal="left" indent="2"/>
    </xf>
    <xf numFmtId="0" fontId="67" fillId="61" borderId="4" xfId="843" applyNumberFormat="1" applyFont="1" applyFill="1" applyBorder="1" applyAlignment="1" applyProtection="1">
      <alignment horizontal="left" indent="2"/>
    </xf>
    <xf numFmtId="0" fontId="1" fillId="60" borderId="2" xfId="0" applyFont="1" applyFill="1" applyBorder="1" applyAlignment="1" applyProtection="1">
      <alignment horizontal="center"/>
    </xf>
    <xf numFmtId="0" fontId="1" fillId="60" borderId="3" xfId="0" applyFont="1" applyFill="1" applyBorder="1" applyAlignment="1" applyProtection="1">
      <alignment horizontal="center"/>
    </xf>
    <xf numFmtId="0" fontId="1" fillId="60" borderId="58" xfId="0" applyFont="1" applyFill="1" applyBorder="1" applyAlignment="1" applyProtection="1">
      <alignment horizontal="center"/>
    </xf>
    <xf numFmtId="0" fontId="67" fillId="61" borderId="27" xfId="843" applyNumberFormat="1" applyFont="1" applyFill="1" applyBorder="1" applyAlignment="1" applyProtection="1">
      <alignment horizontal="left" indent="2"/>
    </xf>
    <xf numFmtId="0" fontId="67" fillId="61" borderId="108" xfId="843" applyNumberFormat="1" applyFont="1" applyFill="1" applyBorder="1" applyAlignment="1" applyProtection="1">
      <alignment horizontal="left" indent="2"/>
    </xf>
    <xf numFmtId="0" fontId="1" fillId="60" borderId="40" xfId="0" applyFont="1" applyFill="1" applyBorder="1" applyAlignment="1" applyProtection="1">
      <alignment horizontal="center"/>
    </xf>
    <xf numFmtId="0" fontId="1" fillId="60" borderId="48" xfId="0" applyFont="1" applyFill="1" applyBorder="1" applyAlignment="1" applyProtection="1">
      <alignment horizontal="center"/>
    </xf>
    <xf numFmtId="0" fontId="1" fillId="60" borderId="41" xfId="0" applyFont="1" applyFill="1" applyBorder="1" applyAlignment="1" applyProtection="1">
      <alignment horizontal="center"/>
    </xf>
    <xf numFmtId="0" fontId="59" fillId="63" borderId="62" xfId="0" applyFont="1" applyFill="1" applyBorder="1" applyAlignment="1" applyProtection="1">
      <alignment horizontal="center"/>
    </xf>
    <xf numFmtId="0" fontId="59" fillId="63" borderId="64" xfId="0" applyFont="1" applyFill="1" applyBorder="1" applyAlignment="1" applyProtection="1">
      <alignment horizontal="center"/>
    </xf>
    <xf numFmtId="0" fontId="0" fillId="33" borderId="0" xfId="0" applyFont="1" applyFill="1" applyBorder="1" applyAlignment="1" applyProtection="1">
      <alignment horizontal="center" vertical="center" wrapText="1"/>
    </xf>
    <xf numFmtId="1" fontId="79" fillId="59" borderId="95" xfId="0" applyNumberFormat="1" applyFont="1" applyFill="1" applyBorder="1" applyAlignment="1" applyProtection="1">
      <alignment horizontal="center" wrapText="1"/>
    </xf>
    <xf numFmtId="1" fontId="79" fillId="59" borderId="69" xfId="0" applyNumberFormat="1" applyFont="1" applyFill="1" applyBorder="1" applyAlignment="1" applyProtection="1">
      <alignment horizontal="center" wrapText="1"/>
    </xf>
    <xf numFmtId="2" fontId="79" fillId="59" borderId="95" xfId="0" applyNumberFormat="1" applyFont="1" applyFill="1" applyBorder="1" applyAlignment="1" applyProtection="1">
      <alignment horizontal="center" wrapText="1"/>
    </xf>
    <xf numFmtId="2" fontId="79" fillId="59" borderId="69" xfId="0" applyNumberFormat="1" applyFont="1" applyFill="1" applyBorder="1" applyAlignment="1" applyProtection="1">
      <alignment horizontal="center" wrapText="1"/>
    </xf>
    <xf numFmtId="0" fontId="91" fillId="66" borderId="2" xfId="0" applyFont="1" applyFill="1" applyBorder="1" applyAlignment="1" applyProtection="1">
      <alignment horizontal="left" vertical="top" wrapText="1"/>
    </xf>
    <xf numFmtId="0" fontId="91" fillId="66" borderId="3" xfId="0" applyFont="1" applyFill="1" applyBorder="1" applyAlignment="1" applyProtection="1">
      <alignment horizontal="left" vertical="top" wrapText="1"/>
    </xf>
    <xf numFmtId="0" fontId="91" fillId="66" borderId="58" xfId="0" applyFont="1" applyFill="1" applyBorder="1" applyAlignment="1" applyProtection="1">
      <alignment horizontal="left" vertical="top" wrapText="1"/>
    </xf>
    <xf numFmtId="0" fontId="91" fillId="66" borderId="5" xfId="0" applyFont="1" applyFill="1" applyBorder="1" applyAlignment="1" applyProtection="1">
      <alignment horizontal="left" vertical="top" wrapText="1"/>
    </xf>
    <xf numFmtId="0" fontId="91" fillId="66" borderId="0" xfId="0" applyFont="1" applyFill="1" applyBorder="1" applyAlignment="1" applyProtection="1">
      <alignment horizontal="left" vertical="top" wrapText="1"/>
    </xf>
    <xf numFmtId="0" fontId="91" fillId="66" borderId="29" xfId="0" applyFont="1" applyFill="1" applyBorder="1" applyAlignment="1" applyProtection="1">
      <alignment horizontal="left" vertical="top" wrapText="1"/>
    </xf>
    <xf numFmtId="0" fontId="91" fillId="66" borderId="42" xfId="0" applyFont="1" applyFill="1" applyBorder="1" applyAlignment="1" applyProtection="1">
      <alignment horizontal="left" vertical="top" wrapText="1"/>
    </xf>
    <xf numFmtId="0" fontId="91" fillId="66" borderId="14" xfId="0" applyFont="1" applyFill="1" applyBorder="1" applyAlignment="1" applyProtection="1">
      <alignment horizontal="left" vertical="top" wrapText="1"/>
    </xf>
    <xf numFmtId="0" fontId="91" fillId="66" borderId="60" xfId="0" applyFont="1" applyFill="1" applyBorder="1" applyAlignment="1" applyProtection="1">
      <alignment horizontal="left" vertical="top" wrapText="1"/>
    </xf>
    <xf numFmtId="0" fontId="64" fillId="61" borderId="27" xfId="0" applyFont="1" applyFill="1" applyBorder="1" applyAlignment="1" applyProtection="1">
      <alignment horizontal="left" vertical="center" indent="2"/>
    </xf>
    <xf numFmtId="0" fontId="64" fillId="61" borderId="1" xfId="0" applyFont="1" applyFill="1" applyBorder="1" applyAlignment="1" applyProtection="1">
      <alignment horizontal="left" vertical="center" indent="2"/>
    </xf>
    <xf numFmtId="0" fontId="79" fillId="62" borderId="7" xfId="0" applyFont="1" applyFill="1" applyBorder="1" applyAlignment="1" applyProtection="1">
      <alignment horizontal="center"/>
    </xf>
    <xf numFmtId="0" fontId="79" fillId="62" borderId="4" xfId="0" applyFont="1" applyFill="1" applyBorder="1" applyAlignment="1" applyProtection="1">
      <alignment horizontal="center"/>
    </xf>
    <xf numFmtId="0" fontId="79" fillId="60" borderId="62" xfId="0" applyFont="1" applyFill="1" applyBorder="1" applyAlignment="1" applyProtection="1">
      <alignment horizontal="center"/>
    </xf>
    <xf numFmtId="0" fontId="79" fillId="60" borderId="63" xfId="0" applyFont="1" applyFill="1" applyBorder="1" applyAlignment="1" applyProtection="1">
      <alignment horizontal="center"/>
    </xf>
    <xf numFmtId="0" fontId="79" fillId="60" borderId="64" xfId="0" applyFont="1" applyFill="1" applyBorder="1" applyAlignment="1" applyProtection="1">
      <alignment horizontal="center"/>
    </xf>
    <xf numFmtId="0" fontId="64" fillId="61" borderId="31" xfId="0" applyFont="1" applyFill="1" applyBorder="1" applyAlignment="1" applyProtection="1">
      <alignment horizontal="left" vertical="center" indent="2"/>
    </xf>
    <xf numFmtId="0" fontId="64" fillId="61" borderId="10" xfId="0" applyFont="1" applyFill="1" applyBorder="1" applyAlignment="1" applyProtection="1">
      <alignment horizontal="left" vertical="center" indent="2"/>
    </xf>
    <xf numFmtId="0" fontId="79" fillId="65" borderId="88" xfId="0" applyFont="1" applyFill="1" applyBorder="1" applyAlignment="1" applyProtection="1">
      <alignment horizontal="center"/>
    </xf>
    <xf numFmtId="0" fontId="79" fillId="65" borderId="92" xfId="0" applyFont="1" applyFill="1" applyBorder="1" applyAlignment="1" applyProtection="1">
      <alignment horizontal="center"/>
    </xf>
    <xf numFmtId="0" fontId="64" fillId="61" borderId="65" xfId="0" applyFont="1" applyFill="1" applyBorder="1" applyAlignment="1" applyProtection="1">
      <alignment horizontal="left" vertical="center" indent="2"/>
    </xf>
    <xf numFmtId="0" fontId="64" fillId="61" borderId="68" xfId="0" applyFont="1" applyFill="1" applyBorder="1" applyAlignment="1" applyProtection="1">
      <alignment horizontal="left" vertical="center" indent="2"/>
    </xf>
    <xf numFmtId="0" fontId="79" fillId="62" borderId="7" xfId="0" applyFont="1" applyFill="1" applyBorder="1" applyAlignment="1" applyProtection="1">
      <alignment horizontal="center" vertical="center"/>
    </xf>
    <xf numFmtId="0" fontId="79" fillId="62" borderId="4" xfId="0" applyFont="1" applyFill="1" applyBorder="1" applyAlignment="1" applyProtection="1">
      <alignment horizontal="center" vertical="center"/>
    </xf>
    <xf numFmtId="0" fontId="79" fillId="65" borderId="42" xfId="0" applyFont="1" applyFill="1" applyBorder="1" applyAlignment="1" applyProtection="1">
      <alignment horizontal="center"/>
    </xf>
    <xf numFmtId="0" fontId="79" fillId="65" borderId="43" xfId="0" applyFont="1" applyFill="1" applyBorder="1" applyAlignment="1" applyProtection="1">
      <alignment horizontal="center"/>
    </xf>
    <xf numFmtId="0" fontId="64" fillId="61" borderId="8" xfId="0" applyFont="1" applyFill="1" applyBorder="1" applyAlignment="1" applyProtection="1">
      <alignment horizontal="left" vertical="center" indent="2"/>
    </xf>
    <xf numFmtId="0" fontId="64" fillId="61" borderId="9" xfId="0" applyFont="1" applyFill="1" applyBorder="1" applyAlignment="1" applyProtection="1">
      <alignment horizontal="left" vertical="center" indent="2"/>
    </xf>
    <xf numFmtId="0" fontId="64" fillId="61" borderId="108" xfId="0" applyFont="1" applyFill="1" applyBorder="1" applyAlignment="1" applyProtection="1">
      <alignment horizontal="left" vertical="center" indent="2"/>
    </xf>
    <xf numFmtId="0" fontId="64" fillId="61" borderId="73" xfId="0" applyFont="1" applyFill="1" applyBorder="1" applyAlignment="1" applyProtection="1">
      <alignment horizontal="left" vertical="center" indent="2"/>
    </xf>
    <xf numFmtId="0" fontId="64" fillId="61" borderId="74" xfId="0" applyFont="1" applyFill="1" applyBorder="1" applyAlignment="1" applyProtection="1">
      <alignment horizontal="left" vertical="center" indent="2"/>
    </xf>
    <xf numFmtId="0" fontId="64" fillId="65" borderId="80" xfId="0" applyFont="1" applyFill="1" applyBorder="1" applyAlignment="1" applyProtection="1">
      <alignment horizontal="left" indent="2"/>
    </xf>
    <xf numFmtId="0" fontId="64" fillId="65" borderId="81" xfId="0" applyFont="1" applyFill="1" applyBorder="1" applyAlignment="1" applyProtection="1">
      <alignment horizontal="left" indent="2"/>
    </xf>
    <xf numFmtId="0" fontId="64" fillId="61" borderId="31" xfId="0" applyFont="1" applyFill="1" applyBorder="1" applyAlignment="1" applyProtection="1">
      <alignment horizontal="left" indent="2"/>
    </xf>
    <xf numFmtId="0" fontId="64" fillId="61" borderId="10" xfId="0" applyFont="1" applyFill="1" applyBorder="1" applyAlignment="1" applyProtection="1">
      <alignment horizontal="left" indent="2"/>
    </xf>
    <xf numFmtId="0" fontId="64" fillId="61" borderId="65" xfId="0" applyFont="1" applyFill="1" applyBorder="1" applyAlignment="1" applyProtection="1">
      <alignment horizontal="left" indent="2"/>
    </xf>
    <xf numFmtId="0" fontId="64" fillId="61" borderId="68" xfId="0" applyFont="1" applyFill="1" applyBorder="1" applyAlignment="1" applyProtection="1">
      <alignment horizontal="left" indent="2"/>
    </xf>
    <xf numFmtId="0" fontId="79" fillId="61" borderId="7" xfId="0" applyFont="1" applyFill="1" applyBorder="1" applyAlignment="1" applyProtection="1">
      <alignment horizontal="center" vertical="center"/>
    </xf>
    <xf numFmtId="0" fontId="79" fillId="61" borderId="4" xfId="0" applyFont="1" applyFill="1" applyBorder="1" applyAlignment="1" applyProtection="1">
      <alignment horizontal="center" vertical="center"/>
    </xf>
    <xf numFmtId="0" fontId="79" fillId="61" borderId="8" xfId="0" applyFont="1" applyFill="1" applyBorder="1" applyAlignment="1" applyProtection="1">
      <alignment horizontal="center" vertical="center"/>
    </xf>
    <xf numFmtId="0" fontId="79" fillId="61" borderId="9" xfId="0" applyFont="1" applyFill="1" applyBorder="1" applyAlignment="1" applyProtection="1">
      <alignment horizontal="center" vertical="center"/>
    </xf>
    <xf numFmtId="0" fontId="79" fillId="62" borderId="62" xfId="0" applyFont="1" applyFill="1" applyBorder="1" applyProtection="1"/>
    <xf numFmtId="0" fontId="79" fillId="62" borderId="63" xfId="0" applyFont="1" applyFill="1" applyBorder="1" applyProtection="1"/>
    <xf numFmtId="0" fontId="64" fillId="65" borderId="5" xfId="0" applyFont="1" applyFill="1" applyBorder="1" applyAlignment="1" applyProtection="1">
      <alignment horizontal="left" indent="2"/>
    </xf>
    <xf numFmtId="0" fontId="64" fillId="65" borderId="0" xfId="0" applyFont="1" applyFill="1" applyBorder="1" applyAlignment="1" applyProtection="1">
      <alignment horizontal="left" indent="2"/>
    </xf>
    <xf numFmtId="0" fontId="79" fillId="62" borderId="47" xfId="0" applyFont="1" applyFill="1" applyBorder="1" applyProtection="1"/>
    <xf numFmtId="0" fontId="79" fillId="65" borderId="42" xfId="0" applyFont="1" applyFill="1" applyBorder="1" applyProtection="1"/>
    <xf numFmtId="0" fontId="79" fillId="65" borderId="14" xfId="0" applyFont="1" applyFill="1" applyBorder="1" applyProtection="1"/>
    <xf numFmtId="0" fontId="64" fillId="65" borderId="42" xfId="0" applyFont="1" applyFill="1" applyBorder="1" applyAlignment="1" applyProtection="1">
      <alignment horizontal="left" indent="2"/>
    </xf>
    <xf numFmtId="0" fontId="64" fillId="65" borderId="14" xfId="0" applyFont="1" applyFill="1" applyBorder="1" applyAlignment="1" applyProtection="1">
      <alignment horizontal="left" indent="2"/>
    </xf>
    <xf numFmtId="0" fontId="64" fillId="33" borderId="0" xfId="0" applyFont="1" applyFill="1" applyProtection="1"/>
    <xf numFmtId="0" fontId="79" fillId="65" borderId="42" xfId="0" applyFont="1" applyFill="1" applyBorder="1" applyAlignment="1" applyProtection="1">
      <alignment horizontal="left" indent="2"/>
    </xf>
    <xf numFmtId="0" fontId="79" fillId="65" borderId="14" xfId="0" applyFont="1" applyFill="1" applyBorder="1" applyAlignment="1" applyProtection="1">
      <alignment horizontal="left" indent="2"/>
    </xf>
    <xf numFmtId="0" fontId="64" fillId="65" borderId="5" xfId="0" applyFont="1" applyFill="1" applyBorder="1" applyProtection="1"/>
    <xf numFmtId="0" fontId="64" fillId="65" borderId="0" xfId="0" applyFont="1" applyFill="1" applyBorder="1" applyProtection="1"/>
    <xf numFmtId="0" fontId="64" fillId="65" borderId="80" xfId="0" applyFont="1" applyFill="1" applyBorder="1" applyProtection="1"/>
    <xf numFmtId="0" fontId="64" fillId="65" borderId="81" xfId="0" applyFont="1" applyFill="1" applyBorder="1" applyProtection="1"/>
    <xf numFmtId="0" fontId="0" fillId="33" borderId="0" xfId="0" applyFill="1" applyBorder="1" applyAlignment="1">
      <alignment horizontal="center" vertical="center" wrapText="1"/>
    </xf>
    <xf numFmtId="0" fontId="1" fillId="61" borderId="40" xfId="0" applyFont="1" applyFill="1" applyBorder="1" applyAlignment="1">
      <alignment horizontal="left" vertical="center"/>
    </xf>
    <xf numFmtId="0" fontId="1" fillId="61" borderId="55" xfId="0" applyFont="1" applyFill="1" applyBorder="1" applyAlignment="1">
      <alignment horizontal="left" vertical="center"/>
    </xf>
    <xf numFmtId="0" fontId="90" fillId="66" borderId="2" xfId="0" applyFont="1" applyFill="1" applyBorder="1" applyAlignment="1">
      <alignment horizontal="left" vertical="top" wrapText="1"/>
    </xf>
    <xf numFmtId="0" fontId="90" fillId="66" borderId="3" xfId="0" applyFont="1" applyFill="1" applyBorder="1" applyAlignment="1">
      <alignment horizontal="left" vertical="top" wrapText="1"/>
    </xf>
    <xf numFmtId="0" fontId="90" fillId="66" borderId="58" xfId="0" applyFont="1" applyFill="1" applyBorder="1" applyAlignment="1">
      <alignment horizontal="left" vertical="top" wrapText="1"/>
    </xf>
    <xf numFmtId="0" fontId="90" fillId="66" borderId="5" xfId="0" applyFont="1" applyFill="1" applyBorder="1" applyAlignment="1">
      <alignment horizontal="left" vertical="top" wrapText="1"/>
    </xf>
    <xf numFmtId="0" fontId="90" fillId="66" borderId="0" xfId="0" applyFont="1" applyFill="1" applyBorder="1" applyAlignment="1">
      <alignment horizontal="left" vertical="top" wrapText="1"/>
    </xf>
    <xf numFmtId="0" fontId="90" fillId="66" borderId="29" xfId="0" applyFont="1" applyFill="1" applyBorder="1" applyAlignment="1">
      <alignment horizontal="left" vertical="top" wrapText="1"/>
    </xf>
    <xf numFmtId="0" fontId="90" fillId="66" borderId="42" xfId="0" applyFont="1" applyFill="1" applyBorder="1" applyAlignment="1">
      <alignment horizontal="left" vertical="top" wrapText="1"/>
    </xf>
    <xf numFmtId="0" fontId="90" fillId="66" borderId="14" xfId="0" applyFont="1" applyFill="1" applyBorder="1" applyAlignment="1">
      <alignment horizontal="left" vertical="top" wrapText="1"/>
    </xf>
    <xf numFmtId="0" fontId="90" fillId="66" borderId="60" xfId="0" applyFont="1" applyFill="1" applyBorder="1" applyAlignment="1">
      <alignment horizontal="left" vertical="top" wrapText="1"/>
    </xf>
    <xf numFmtId="0" fontId="1" fillId="62" borderId="40" xfId="0" applyFont="1" applyFill="1" applyBorder="1" applyAlignment="1">
      <alignment horizontal="center"/>
    </xf>
    <xf numFmtId="0" fontId="1" fillId="62" borderId="48" xfId="0" applyFont="1" applyFill="1" applyBorder="1" applyAlignment="1">
      <alignment horizontal="center"/>
    </xf>
    <xf numFmtId="0" fontId="1" fillId="62" borderId="41" xfId="0" applyFont="1" applyFill="1" applyBorder="1" applyAlignment="1">
      <alignment horizontal="center"/>
    </xf>
    <xf numFmtId="0" fontId="1" fillId="62" borderId="7" xfId="0" applyFont="1" applyFill="1" applyBorder="1" applyAlignment="1">
      <alignment horizontal="center"/>
    </xf>
    <xf numFmtId="0" fontId="1" fillId="62" borderId="63" xfId="0" applyFont="1" applyFill="1" applyBorder="1" applyAlignment="1">
      <alignment horizontal="center"/>
    </xf>
    <xf numFmtId="0" fontId="1" fillId="62" borderId="26" xfId="0" applyFont="1" applyFill="1" applyBorder="1" applyAlignment="1">
      <alignment horizontal="center"/>
    </xf>
    <xf numFmtId="0" fontId="79" fillId="61" borderId="65" xfId="0" applyFont="1" applyFill="1" applyBorder="1" applyAlignment="1">
      <alignment horizontal="left"/>
    </xf>
    <xf numFmtId="0" fontId="79" fillId="61" borderId="68" xfId="0" applyFont="1" applyFill="1" applyBorder="1" applyAlignment="1">
      <alignment horizontal="left"/>
    </xf>
    <xf numFmtId="0" fontId="79" fillId="61" borderId="62" xfId="0" applyFont="1" applyFill="1" applyBorder="1" applyAlignment="1">
      <alignment horizontal="left"/>
    </xf>
    <xf numFmtId="0" fontId="79" fillId="61" borderId="47" xfId="0" applyFont="1" applyFill="1" applyBorder="1" applyAlignment="1">
      <alignment horizontal="left"/>
    </xf>
    <xf numFmtId="0" fontId="79" fillId="61" borderId="31" xfId="0" applyFont="1" applyFill="1" applyBorder="1" applyAlignment="1">
      <alignment horizontal="left"/>
    </xf>
    <xf numFmtId="0" fontId="79" fillId="61" borderId="10" xfId="0" applyFont="1" applyFill="1" applyBorder="1" applyAlignment="1">
      <alignment horizontal="left"/>
    </xf>
    <xf numFmtId="0" fontId="88" fillId="33" borderId="0" xfId="0" applyFont="1" applyFill="1" applyAlignment="1">
      <alignment horizontal="left" wrapText="1"/>
    </xf>
    <xf numFmtId="0" fontId="91" fillId="66" borderId="2" xfId="0" applyFont="1" applyFill="1" applyBorder="1" applyAlignment="1">
      <alignment horizontal="left" vertical="top" wrapText="1"/>
    </xf>
    <xf numFmtId="0" fontId="91" fillId="66" borderId="3" xfId="0" applyFont="1" applyFill="1" applyBorder="1" applyAlignment="1">
      <alignment horizontal="left" vertical="top" wrapText="1"/>
    </xf>
    <xf numFmtId="0" fontId="91" fillId="66" borderId="58" xfId="0" applyFont="1" applyFill="1" applyBorder="1" applyAlignment="1">
      <alignment horizontal="left" vertical="top" wrapText="1"/>
    </xf>
    <xf numFmtId="0" fontId="91" fillId="66" borderId="5" xfId="0" applyFont="1" applyFill="1" applyBorder="1" applyAlignment="1">
      <alignment horizontal="left" vertical="top" wrapText="1"/>
    </xf>
    <xf numFmtId="0" fontId="91" fillId="66" borderId="0" xfId="0" applyFont="1" applyFill="1" applyBorder="1" applyAlignment="1">
      <alignment horizontal="left" vertical="top" wrapText="1"/>
    </xf>
    <xf numFmtId="0" fontId="91" fillId="66" borderId="29" xfId="0" applyFont="1" applyFill="1" applyBorder="1" applyAlignment="1">
      <alignment horizontal="left" vertical="top" wrapText="1"/>
    </xf>
    <xf numFmtId="0" fontId="91" fillId="66" borderId="42" xfId="0" applyFont="1" applyFill="1" applyBorder="1" applyAlignment="1">
      <alignment horizontal="left" vertical="top" wrapText="1"/>
    </xf>
    <xf numFmtId="0" fontId="91" fillId="66" borderId="14" xfId="0" applyFont="1" applyFill="1" applyBorder="1" applyAlignment="1">
      <alignment horizontal="left" vertical="top" wrapText="1"/>
    </xf>
    <xf numFmtId="0" fontId="91" fillId="66" borderId="60" xfId="0" applyFont="1" applyFill="1" applyBorder="1" applyAlignment="1">
      <alignment horizontal="left" vertical="top" wrapText="1"/>
    </xf>
    <xf numFmtId="0" fontId="72" fillId="60" borderId="2" xfId="0" applyFont="1" applyFill="1" applyBorder="1" applyAlignment="1">
      <alignment horizontal="left"/>
    </xf>
    <xf numFmtId="0" fontId="72" fillId="60" borderId="58" xfId="0" applyFont="1" applyFill="1" applyBorder="1" applyAlignment="1">
      <alignment horizontal="left"/>
    </xf>
    <xf numFmtId="0" fontId="4" fillId="33" borderId="0" xfId="0" applyFont="1" applyFill="1" applyAlignment="1">
      <alignment horizontal="center" vertical="top"/>
    </xf>
  </cellXfs>
  <cellStyles count="903">
    <cellStyle name="°F" xfId="9"/>
    <cellStyle name="°F 2" xfId="10"/>
    <cellStyle name="0,0_x000d__x000a_NA_x000d__x000a_" xfId="11"/>
    <cellStyle name="0,0_x000d__x000a_NA_x000d__x000a_ 2" xfId="12"/>
    <cellStyle name="1. Header 1" xfId="13"/>
    <cellStyle name="1. Header 1 2" xfId="14"/>
    <cellStyle name="1. Header 1 2 2" xfId="15"/>
    <cellStyle name="1. Header 1 2 2 2" xfId="16"/>
    <cellStyle name="1. Header 1 2 3" xfId="17"/>
    <cellStyle name="1. Header 1 2 3 2" xfId="18"/>
    <cellStyle name="1. Header 1 2 4" xfId="19"/>
    <cellStyle name="1. Header 1 2 4 2" xfId="20"/>
    <cellStyle name="1. Header 1 2 5" xfId="21"/>
    <cellStyle name="1. Header 1 2 5 2" xfId="22"/>
    <cellStyle name="1. Header 1 2 6" xfId="23"/>
    <cellStyle name="1. Header 1 2 6 2" xfId="24"/>
    <cellStyle name="1. Header 1 2 7" xfId="25"/>
    <cellStyle name="1. Header 1 3" xfId="26"/>
    <cellStyle name="2. Header 2" xfId="27"/>
    <cellStyle name="2. Header 2 2" xfId="28"/>
    <cellStyle name="2. Header 2 2 2" xfId="29"/>
    <cellStyle name="2. Header 2 2 2 2" xfId="30"/>
    <cellStyle name="2. Header 2 2 3" xfId="31"/>
    <cellStyle name="2. Header 2 2 3 2" xfId="32"/>
    <cellStyle name="2. Header 2 2 4" xfId="33"/>
    <cellStyle name="2. Header 2 2 4 2" xfId="34"/>
    <cellStyle name="2. Header 2 2 5" xfId="35"/>
    <cellStyle name="2. Header 2 2 5 2" xfId="36"/>
    <cellStyle name="2. Header 2 2 6" xfId="37"/>
    <cellStyle name="2. Header 2 2 6 2" xfId="38"/>
    <cellStyle name="2. Header 2 2 7" xfId="39"/>
    <cellStyle name="2. Header 2 3" xfId="40"/>
    <cellStyle name="20% - Accent1" xfId="863" builtinId="30" customBuiltin="1"/>
    <cellStyle name="20% - Accent1 2" xfId="41"/>
    <cellStyle name="20% - Accent2" xfId="867" builtinId="34" customBuiltin="1"/>
    <cellStyle name="20% - Accent2 2" xfId="42"/>
    <cellStyle name="20% - Accent3" xfId="871" builtinId="38" customBuiltin="1"/>
    <cellStyle name="20% - Accent3 2" xfId="43"/>
    <cellStyle name="20% - Accent4" xfId="875" builtinId="42" customBuiltin="1"/>
    <cellStyle name="20% - Accent4 2" xfId="44"/>
    <cellStyle name="20% - Accent5" xfId="879" builtinId="46" customBuiltin="1"/>
    <cellStyle name="20% - Accent5 2" xfId="45"/>
    <cellStyle name="20% - Accent6" xfId="883" builtinId="50" customBuiltin="1"/>
    <cellStyle name="20% - Accent6 2" xfId="46"/>
    <cellStyle name="40% - Accent1" xfId="864" builtinId="31" customBuiltin="1"/>
    <cellStyle name="40% - Accent1 2" xfId="47"/>
    <cellStyle name="40% - Accent2" xfId="868" builtinId="35" customBuiltin="1"/>
    <cellStyle name="40% - Accent2 2" xfId="48"/>
    <cellStyle name="40% - Accent3" xfId="872" builtinId="39" customBuiltin="1"/>
    <cellStyle name="40% - Accent3 2" xfId="49"/>
    <cellStyle name="40% - Accent3 2 2" xfId="50"/>
    <cellStyle name="40% - Accent3 2 2 2" xfId="51"/>
    <cellStyle name="40% - Accent3 2 3" xfId="52"/>
    <cellStyle name="40% - Accent3 2 3 2" xfId="53"/>
    <cellStyle name="40% - Accent3 2 4" xfId="54"/>
    <cellStyle name="40% - Accent3 2 4 2" xfId="55"/>
    <cellStyle name="40% - Accent3 2 5" xfId="56"/>
    <cellStyle name="40% - Accent3 2 5 2" xfId="57"/>
    <cellStyle name="40% - Accent3 2 6" xfId="58"/>
    <cellStyle name="40% - Accent3 2 6 2" xfId="59"/>
    <cellStyle name="40% - Accent3 2 7" xfId="60"/>
    <cellStyle name="40% - Accent3 3" xfId="61"/>
    <cellStyle name="40% - Accent3 4" xfId="62"/>
    <cellStyle name="40% - Accent4" xfId="876" builtinId="43" customBuiltin="1"/>
    <cellStyle name="40% - Accent4 2" xfId="63"/>
    <cellStyle name="40% - Accent5" xfId="880" builtinId="47" customBuiltin="1"/>
    <cellStyle name="40% - Accent5 2" xfId="64"/>
    <cellStyle name="40% - Accent6" xfId="884" builtinId="51" customBuiltin="1"/>
    <cellStyle name="40% - Accent6 2" xfId="65"/>
    <cellStyle name="60% - Accent1" xfId="865" builtinId="32" customBuiltin="1"/>
    <cellStyle name="60% - Accent1 2" xfId="66"/>
    <cellStyle name="60% - Accent2" xfId="869" builtinId="36" customBuiltin="1"/>
    <cellStyle name="60% - Accent2 2" xfId="67"/>
    <cellStyle name="60% - Accent2 2 2" xfId="68"/>
    <cellStyle name="60% - Accent2 2 2 2" xfId="69"/>
    <cellStyle name="60% - Accent2 2 3" xfId="70"/>
    <cellStyle name="60% - Accent2 2 3 2" xfId="71"/>
    <cellStyle name="60% - Accent2 2 4" xfId="72"/>
    <cellStyle name="60% - Accent2 2 4 2" xfId="73"/>
    <cellStyle name="60% - Accent2 2 5" xfId="74"/>
    <cellStyle name="60% - Accent2 2 5 2" xfId="75"/>
    <cellStyle name="60% - Accent2 2 6" xfId="76"/>
    <cellStyle name="60% - Accent2 2 6 2" xfId="77"/>
    <cellStyle name="60% - Accent2 2 7" xfId="78"/>
    <cellStyle name="60% - Accent2 3" xfId="79"/>
    <cellStyle name="60% - Accent2 4" xfId="80"/>
    <cellStyle name="60% - Accent3" xfId="873" builtinId="40" customBuiltin="1"/>
    <cellStyle name="60% - Accent3 2" xfId="81"/>
    <cellStyle name="60% - Accent4" xfId="877" builtinId="44" customBuiltin="1"/>
    <cellStyle name="60% - Accent4 2" xfId="82"/>
    <cellStyle name="60% - Accent5" xfId="881" builtinId="48" customBuiltin="1"/>
    <cellStyle name="60% - Accent5 2" xfId="83"/>
    <cellStyle name="60% - Accent6" xfId="885" builtinId="52" customBuiltin="1"/>
    <cellStyle name="60% - Accent6 2" xfId="84"/>
    <cellStyle name="Accent 2" xfId="85"/>
    <cellStyle name="Accent 2 2" xfId="86"/>
    <cellStyle name="Accent1" xfId="862" builtinId="29" customBuiltin="1"/>
    <cellStyle name="Accent1 2" xfId="87"/>
    <cellStyle name="Accent2" xfId="866" builtinId="33" customBuiltin="1"/>
    <cellStyle name="Accent2 2" xfId="88"/>
    <cellStyle name="Accent2 3" xfId="89"/>
    <cellStyle name="Accent3" xfId="870" builtinId="37" customBuiltin="1"/>
    <cellStyle name="Accent3 2" xfId="90"/>
    <cellStyle name="Accent4" xfId="874" builtinId="41" customBuiltin="1"/>
    <cellStyle name="Accent4 2" xfId="91"/>
    <cellStyle name="Accent5" xfId="878" builtinId="45" customBuiltin="1"/>
    <cellStyle name="Accent5 2" xfId="92"/>
    <cellStyle name="Accent6" xfId="882" builtinId="49" customBuiltin="1"/>
    <cellStyle name="Accent6 2" xfId="93"/>
    <cellStyle name="Bad" xfId="851" builtinId="27" customBuiltin="1"/>
    <cellStyle name="Bad 2" xfId="94"/>
    <cellStyle name="Bad 3" xfId="95"/>
    <cellStyle name="Calculation" xfId="855" builtinId="22" customBuiltin="1"/>
    <cellStyle name="Calculation 2" xfId="96"/>
    <cellStyle name="Calculation 2 2" xfId="888"/>
    <cellStyle name="Calculation 2 3" xfId="901"/>
    <cellStyle name="Centered Heading" xfId="97"/>
    <cellStyle name="Centered Heading 2" xfId="98"/>
    <cellStyle name="Check Cell" xfId="857" builtinId="23" customBuiltin="1"/>
    <cellStyle name="Check Cell 2" xfId="99"/>
    <cellStyle name="Comma" xfId="844" builtinId="3"/>
    <cellStyle name="Comma %" xfId="100"/>
    <cellStyle name="Comma % 2" xfId="101"/>
    <cellStyle name="Comma % 3" xfId="102"/>
    <cellStyle name="Comma % 4" xfId="103"/>
    <cellStyle name="Comma % 5" xfId="104"/>
    <cellStyle name="Comma % 6" xfId="105"/>
    <cellStyle name="Comma 0.0" xfId="106"/>
    <cellStyle name="Comma 0.0%" xfId="107"/>
    <cellStyle name="Comma 0.00" xfId="108"/>
    <cellStyle name="Comma 0.00%" xfId="109"/>
    <cellStyle name="Comma 0.000" xfId="110"/>
    <cellStyle name="Comma 0.000%" xfId="111"/>
    <cellStyle name="Comma 10" xfId="112"/>
    <cellStyle name="Comma 10 2" xfId="113"/>
    <cellStyle name="Comma 11" xfId="114"/>
    <cellStyle name="Comma 12" xfId="115"/>
    <cellStyle name="Comma 13" xfId="116"/>
    <cellStyle name="Comma 14" xfId="117"/>
    <cellStyle name="Comma 15" xfId="118"/>
    <cellStyle name="Comma 16" xfId="119"/>
    <cellStyle name="Comma 17" xfId="120"/>
    <cellStyle name="Comma 18" xfId="121"/>
    <cellStyle name="Comma 18 2" xfId="122"/>
    <cellStyle name="Comma 18 2 2" xfId="123"/>
    <cellStyle name="Comma 18 2 2 2" xfId="124"/>
    <cellStyle name="Comma 18 2 2 2 2" xfId="125"/>
    <cellStyle name="Comma 18 2 2 3" xfId="126"/>
    <cellStyle name="Comma 18 2 2 3 2" xfId="127"/>
    <cellStyle name="Comma 18 2 2 4" xfId="128"/>
    <cellStyle name="Comma 18 2 3" xfId="129"/>
    <cellStyle name="Comma 18 2 3 2" xfId="130"/>
    <cellStyle name="Comma 18 2 4" xfId="131"/>
    <cellStyle name="Comma 18 2 4 2" xfId="132"/>
    <cellStyle name="Comma 18 2 5" xfId="133"/>
    <cellStyle name="Comma 18 3" xfId="134"/>
    <cellStyle name="Comma 18 3 2" xfId="135"/>
    <cellStyle name="Comma 18 3 2 2" xfId="136"/>
    <cellStyle name="Comma 18 3 3" xfId="137"/>
    <cellStyle name="Comma 18 3 3 2" xfId="138"/>
    <cellStyle name="Comma 18 3 4" xfId="139"/>
    <cellStyle name="Comma 18 4" xfId="140"/>
    <cellStyle name="Comma 18 4 2" xfId="141"/>
    <cellStyle name="Comma 18 5" xfId="142"/>
    <cellStyle name="Comma 18 5 2" xfId="143"/>
    <cellStyle name="Comma 18 6" xfId="144"/>
    <cellStyle name="Comma 19" xfId="145"/>
    <cellStyle name="Comma 2" xfId="146"/>
    <cellStyle name="Comma 2 10" xfId="147"/>
    <cellStyle name="Comma 2 11" xfId="148"/>
    <cellStyle name="Comma 2 12" xfId="149"/>
    <cellStyle name="Comma 2 13" xfId="150"/>
    <cellStyle name="Comma 2 14" xfId="151"/>
    <cellStyle name="Comma 2 15" xfId="152"/>
    <cellStyle name="Comma 2 16" xfId="153"/>
    <cellStyle name="Comma 2 17" xfId="154"/>
    <cellStyle name="Comma 2 18" xfId="155"/>
    <cellStyle name="Comma 2 19" xfId="156"/>
    <cellStyle name="Comma 2 2" xfId="157"/>
    <cellStyle name="Comma 2 3" xfId="158"/>
    <cellStyle name="Comma 2 4" xfId="159"/>
    <cellStyle name="Comma 2 5" xfId="160"/>
    <cellStyle name="Comma 2 6" xfId="161"/>
    <cellStyle name="Comma 2 7" xfId="162"/>
    <cellStyle name="Comma 2 8" xfId="163"/>
    <cellStyle name="Comma 2 9" xfId="164"/>
    <cellStyle name="Comma 20" xfId="165"/>
    <cellStyle name="Comma 21" xfId="166"/>
    <cellStyle name="Comma 22" xfId="167"/>
    <cellStyle name="Comma 23" xfId="168"/>
    <cellStyle name="Comma 24" xfId="169"/>
    <cellStyle name="Comma 25" xfId="170"/>
    <cellStyle name="Comma 26" xfId="171"/>
    <cellStyle name="Comma 26 2" xfId="172"/>
    <cellStyle name="Comma 26 2 2" xfId="173"/>
    <cellStyle name="Comma 26 2 2 2" xfId="174"/>
    <cellStyle name="Comma 26 2 2 2 2" xfId="175"/>
    <cellStyle name="Comma 26 2 2 3" xfId="176"/>
    <cellStyle name="Comma 26 2 2 3 2" xfId="177"/>
    <cellStyle name="Comma 26 2 2 4" xfId="178"/>
    <cellStyle name="Comma 26 2 3" xfId="179"/>
    <cellStyle name="Comma 26 2 3 2" xfId="180"/>
    <cellStyle name="Comma 26 2 4" xfId="181"/>
    <cellStyle name="Comma 26 2 4 2" xfId="182"/>
    <cellStyle name="Comma 26 2 5" xfId="183"/>
    <cellStyle name="Comma 26 3" xfId="184"/>
    <cellStyle name="Comma 26 3 2" xfId="185"/>
    <cellStyle name="Comma 26 3 2 2" xfId="186"/>
    <cellStyle name="Comma 26 3 3" xfId="187"/>
    <cellStyle name="Comma 26 3 3 2" xfId="188"/>
    <cellStyle name="Comma 26 3 4" xfId="189"/>
    <cellStyle name="Comma 26 4" xfId="190"/>
    <cellStyle name="Comma 26 4 2" xfId="191"/>
    <cellStyle name="Comma 26 5" xfId="192"/>
    <cellStyle name="Comma 26 5 2" xfId="193"/>
    <cellStyle name="Comma 26 6" xfId="194"/>
    <cellStyle name="Comma 27" xfId="195"/>
    <cellStyle name="Comma 27 2" xfId="196"/>
    <cellStyle name="Comma 27 2 2" xfId="197"/>
    <cellStyle name="Comma 27 2 2 2" xfId="198"/>
    <cellStyle name="Comma 27 2 3" xfId="199"/>
    <cellStyle name="Comma 27 2 3 2" xfId="200"/>
    <cellStyle name="Comma 27 2 4" xfId="201"/>
    <cellStyle name="Comma 27 3" xfId="202"/>
    <cellStyle name="Comma 27 3 2" xfId="203"/>
    <cellStyle name="Comma 27 4" xfId="204"/>
    <cellStyle name="Comma 27 4 2" xfId="205"/>
    <cellStyle name="Comma 27 5" xfId="206"/>
    <cellStyle name="Comma 28" xfId="207"/>
    <cellStyle name="Comma 29" xfId="208"/>
    <cellStyle name="Comma 29 2" xfId="209"/>
    <cellStyle name="Comma 29 2 2" xfId="210"/>
    <cellStyle name="Comma 29 3" xfId="211"/>
    <cellStyle name="Comma 29 3 2" xfId="212"/>
    <cellStyle name="Comma 29 4" xfId="213"/>
    <cellStyle name="Comma 3" xfId="214"/>
    <cellStyle name="Comma 3 2" xfId="215"/>
    <cellStyle name="Comma 3 3" xfId="216"/>
    <cellStyle name="Comma 3 4" xfId="217"/>
    <cellStyle name="Comma 3 5" xfId="218"/>
    <cellStyle name="Comma 3 6" xfId="219"/>
    <cellStyle name="Comma 30" xfId="220"/>
    <cellStyle name="Comma 31" xfId="221"/>
    <cellStyle name="Comma 31 2" xfId="222"/>
    <cellStyle name="Comma 4" xfId="223"/>
    <cellStyle name="Comma 5" xfId="224"/>
    <cellStyle name="Comma 5 2" xfId="225"/>
    <cellStyle name="Comma 5 3" xfId="226"/>
    <cellStyle name="Comma 5 4" xfId="227"/>
    <cellStyle name="Comma 5 5" xfId="228"/>
    <cellStyle name="Comma 6" xfId="229"/>
    <cellStyle name="Comma 6 2" xfId="230"/>
    <cellStyle name="Comma 6 3" xfId="231"/>
    <cellStyle name="Comma 6 4" xfId="232"/>
    <cellStyle name="Comma 6 5" xfId="233"/>
    <cellStyle name="Comma 7" xfId="234"/>
    <cellStyle name="Comma 7 2" xfId="235"/>
    <cellStyle name="Comma 7 3" xfId="236"/>
    <cellStyle name="Comma 7 4" xfId="237"/>
    <cellStyle name="Comma 7 5" xfId="238"/>
    <cellStyle name="Comma 8" xfId="239"/>
    <cellStyle name="Comma 8 2" xfId="240"/>
    <cellStyle name="Comma 8 3" xfId="241"/>
    <cellStyle name="Comma 8 4" xfId="242"/>
    <cellStyle name="Comma 9" xfId="243"/>
    <cellStyle name="Comma 9 2" xfId="244"/>
    <cellStyle name="Comma 9 3" xfId="245"/>
    <cellStyle name="Comma 9 4" xfId="246"/>
    <cellStyle name="Comma 9 5" xfId="247"/>
    <cellStyle name="Comma 9 6" xfId="248"/>
    <cellStyle name="Company Name" xfId="249"/>
    <cellStyle name="Company Name 2" xfId="250"/>
    <cellStyle name="CR Comma" xfId="251"/>
    <cellStyle name="CR Currency" xfId="252"/>
    <cellStyle name="Currency" xfId="5" builtinId="4"/>
    <cellStyle name="Currency %" xfId="253"/>
    <cellStyle name="Currency % 2" xfId="254"/>
    <cellStyle name="Currency % 3" xfId="255"/>
    <cellStyle name="Currency % 4" xfId="256"/>
    <cellStyle name="Currency % 5" xfId="257"/>
    <cellStyle name="Currency % 6" xfId="258"/>
    <cellStyle name="Currency 0.0" xfId="259"/>
    <cellStyle name="Currency 0.0%" xfId="260"/>
    <cellStyle name="Currency 0.00" xfId="261"/>
    <cellStyle name="Currency 0.00%" xfId="262"/>
    <cellStyle name="Currency 0.000" xfId="263"/>
    <cellStyle name="Currency 0.000%" xfId="264"/>
    <cellStyle name="Currency 10" xfId="265"/>
    <cellStyle name="Currency 11" xfId="266"/>
    <cellStyle name="Currency 12" xfId="267"/>
    <cellStyle name="Currency 13" xfId="268"/>
    <cellStyle name="Currency 14" xfId="269"/>
    <cellStyle name="Currency 14 2" xfId="270"/>
    <cellStyle name="Currency 14 2 2" xfId="271"/>
    <cellStyle name="Currency 14 2 2 2" xfId="272"/>
    <cellStyle name="Currency 14 2 2 2 2" xfId="273"/>
    <cellStyle name="Currency 14 2 2 3" xfId="274"/>
    <cellStyle name="Currency 14 2 2 3 2" xfId="275"/>
    <cellStyle name="Currency 14 2 2 4" xfId="276"/>
    <cellStyle name="Currency 14 2 3" xfId="277"/>
    <cellStyle name="Currency 14 2 3 2" xfId="278"/>
    <cellStyle name="Currency 14 2 4" xfId="279"/>
    <cellStyle name="Currency 14 2 4 2" xfId="280"/>
    <cellStyle name="Currency 14 2 5" xfId="281"/>
    <cellStyle name="Currency 14 3" xfId="282"/>
    <cellStyle name="Currency 14 3 2" xfId="283"/>
    <cellStyle name="Currency 14 3 2 2" xfId="284"/>
    <cellStyle name="Currency 14 3 3" xfId="285"/>
    <cellStyle name="Currency 14 3 3 2" xfId="286"/>
    <cellStyle name="Currency 14 3 4" xfId="287"/>
    <cellStyle name="Currency 14 4" xfId="288"/>
    <cellStyle name="Currency 14 4 2" xfId="289"/>
    <cellStyle name="Currency 14 5" xfId="290"/>
    <cellStyle name="Currency 14 5 2" xfId="291"/>
    <cellStyle name="Currency 14 6" xfId="292"/>
    <cellStyle name="Currency 15" xfId="293"/>
    <cellStyle name="Currency 16" xfId="294"/>
    <cellStyle name="Currency 17" xfId="295"/>
    <cellStyle name="Currency 18" xfId="296"/>
    <cellStyle name="Currency 19" xfId="297"/>
    <cellStyle name="Currency 2" xfId="7"/>
    <cellStyle name="Currency 2 2" xfId="298"/>
    <cellStyle name="Currency 2 3" xfId="299"/>
    <cellStyle name="Currency 2 4" xfId="300"/>
    <cellStyle name="Currency 2 5" xfId="301"/>
    <cellStyle name="Currency 2 6" xfId="302"/>
    <cellStyle name="Currency 2 7" xfId="303"/>
    <cellStyle name="Currency 20" xfId="304"/>
    <cellStyle name="Currency 21" xfId="305"/>
    <cellStyle name="Currency 22" xfId="306"/>
    <cellStyle name="Currency 22 2" xfId="307"/>
    <cellStyle name="Currency 22 2 2" xfId="308"/>
    <cellStyle name="Currency 22 2 2 2" xfId="309"/>
    <cellStyle name="Currency 22 2 3" xfId="310"/>
    <cellStyle name="Currency 22 2 3 2" xfId="311"/>
    <cellStyle name="Currency 22 2 4" xfId="312"/>
    <cellStyle name="Currency 22 3" xfId="313"/>
    <cellStyle name="Currency 22 3 2" xfId="314"/>
    <cellStyle name="Currency 22 4" xfId="315"/>
    <cellStyle name="Currency 22 4 2" xfId="316"/>
    <cellStyle name="Currency 22 5" xfId="317"/>
    <cellStyle name="Currency 23" xfId="318"/>
    <cellStyle name="Currency 24" xfId="319"/>
    <cellStyle name="Currency 25" xfId="320"/>
    <cellStyle name="Currency 25 2" xfId="321"/>
    <cellStyle name="Currency 26" xfId="322"/>
    <cellStyle name="Currency 26 2" xfId="323"/>
    <cellStyle name="Currency 3" xfId="324"/>
    <cellStyle name="Currency 3 2" xfId="325"/>
    <cellStyle name="Currency 3 3" xfId="326"/>
    <cellStyle name="Currency 3 4" xfId="327"/>
    <cellStyle name="Currency 3 5" xfId="328"/>
    <cellStyle name="Currency 3 6" xfId="329"/>
    <cellStyle name="Currency 4" xfId="330"/>
    <cellStyle name="Currency 4 2" xfId="331"/>
    <cellStyle name="Currency 4 3" xfId="332"/>
    <cellStyle name="Currency 4 4" xfId="333"/>
    <cellStyle name="Currency 4 5" xfId="334"/>
    <cellStyle name="Currency 4 6" xfId="335"/>
    <cellStyle name="Currency 4 7" xfId="336"/>
    <cellStyle name="Currency 5" xfId="337"/>
    <cellStyle name="Currency 5 2" xfId="338"/>
    <cellStyle name="Currency 5 3" xfId="339"/>
    <cellStyle name="Currency 5 4" xfId="340"/>
    <cellStyle name="Currency 5 5" xfId="341"/>
    <cellStyle name="Currency 6" xfId="342"/>
    <cellStyle name="Currency 7" xfId="343"/>
    <cellStyle name="Currency 7 2" xfId="344"/>
    <cellStyle name="Currency 7 3" xfId="345"/>
    <cellStyle name="Currency 7 4" xfId="346"/>
    <cellStyle name="Currency 7 5" xfId="347"/>
    <cellStyle name="Currency 7 6" xfId="348"/>
    <cellStyle name="Currency 8" xfId="349"/>
    <cellStyle name="Currency 8 2" xfId="350"/>
    <cellStyle name="Currency 9" xfId="351"/>
    <cellStyle name="Date" xfId="352"/>
    <cellStyle name="Date 2" xfId="353"/>
    <cellStyle name="Date 3" xfId="354"/>
    <cellStyle name="Date 4" xfId="355"/>
    <cellStyle name="Date 5" xfId="356"/>
    <cellStyle name="Date 6" xfId="357"/>
    <cellStyle name="Decimal 1" xfId="358"/>
    <cellStyle name="Decimal 1 2" xfId="359"/>
    <cellStyle name="Decimal 2" xfId="360"/>
    <cellStyle name="Decimal 2 2" xfId="361"/>
    <cellStyle name="Euro" xfId="362"/>
    <cellStyle name="Euro 2" xfId="363"/>
    <cellStyle name="Euro 2 2" xfId="364"/>
    <cellStyle name="Euro 3" xfId="365"/>
    <cellStyle name="Euro 3 2" xfId="366"/>
    <cellStyle name="Euro 4" xfId="367"/>
    <cellStyle name="Euro 4 2" xfId="368"/>
    <cellStyle name="Euro 5" xfId="369"/>
    <cellStyle name="Euro 5 2" xfId="370"/>
    <cellStyle name="Euro 6" xfId="371"/>
    <cellStyle name="Euro 6 2" xfId="372"/>
    <cellStyle name="Euro 7" xfId="373"/>
    <cellStyle name="Explanatory Text" xfId="860" builtinId="53" customBuiltin="1"/>
    <cellStyle name="Explanatory Text 2" xfId="374"/>
    <cellStyle name="Good" xfId="850" builtinId="26" customBuiltin="1"/>
    <cellStyle name="Good 2" xfId="375"/>
    <cellStyle name="Good 3" xfId="376"/>
    <cellStyle name="Heading" xfId="377"/>
    <cellStyle name="Heading 1" xfId="846" builtinId="16" customBuiltin="1"/>
    <cellStyle name="Heading 1 2" xfId="378"/>
    <cellStyle name="Heading 2" xfId="847" builtinId="17" customBuiltin="1"/>
    <cellStyle name="Heading 2 2" xfId="379"/>
    <cellStyle name="Heading 3" xfId="848" builtinId="18" customBuiltin="1"/>
    <cellStyle name="Heading 3 2" xfId="380"/>
    <cellStyle name="Heading 4" xfId="849" builtinId="19" customBuiltin="1"/>
    <cellStyle name="Heading 4 2" xfId="381"/>
    <cellStyle name="Heading No Underline" xfId="382"/>
    <cellStyle name="Heading No Underline 2" xfId="383"/>
    <cellStyle name="Heading With Underline" xfId="384"/>
    <cellStyle name="Heading With Underline 2" xfId="385"/>
    <cellStyle name="Hyperlink" xfId="886" builtinId="8"/>
    <cellStyle name="Hyperlink 2" xfId="2"/>
    <cellStyle name="Hyperlink 3" xfId="8"/>
    <cellStyle name="Input" xfId="853" builtinId="20" customBuiltin="1"/>
    <cellStyle name="Input 2" xfId="386"/>
    <cellStyle name="Input 2 2" xfId="894"/>
    <cellStyle name="Input 2 3" xfId="895"/>
    <cellStyle name="Input 3" xfId="387"/>
    <cellStyle name="Input 4" xfId="388"/>
    <cellStyle name="Linked Cell" xfId="856" builtinId="24" customBuiltin="1"/>
    <cellStyle name="Linked Cell 2" xfId="389"/>
    <cellStyle name="MH Revision" xfId="390"/>
    <cellStyle name="mmm-dd" xfId="391"/>
    <cellStyle name="mmm-dd  dddd" xfId="392"/>
    <cellStyle name="mmm-dd  dddd 2" xfId="393"/>
    <cellStyle name="mmm-dd  hh" xfId="394"/>
    <cellStyle name="mmm-dd  hh 2" xfId="395"/>
    <cellStyle name="mmm-dd  hh:mm" xfId="396"/>
    <cellStyle name="mmm-dd  hh:mm 2" xfId="397"/>
    <cellStyle name="mmm-dd 2" xfId="398"/>
    <cellStyle name="Neutral" xfId="852" builtinId="28" customBuiltin="1"/>
    <cellStyle name="Neutral 2" xfId="399"/>
    <cellStyle name="Normal" xfId="0" builtinId="0"/>
    <cellStyle name="Normal 10" xfId="400"/>
    <cellStyle name="Normal 11" xfId="401"/>
    <cellStyle name="Normal 12" xfId="402"/>
    <cellStyle name="Normal 12 2" xfId="403"/>
    <cellStyle name="Normal 13" xfId="404"/>
    <cellStyle name="Normal 14" xfId="405"/>
    <cellStyle name="Normal 14 2" xfId="406"/>
    <cellStyle name="Normal 14 2 2" xfId="407"/>
    <cellStyle name="Normal 14 2 2 2" xfId="408"/>
    <cellStyle name="Normal 14 2 2 2 2" xfId="409"/>
    <cellStyle name="Normal 14 2 2 3" xfId="410"/>
    <cellStyle name="Normal 14 2 2 3 2" xfId="411"/>
    <cellStyle name="Normal 14 2 2 4" xfId="412"/>
    <cellStyle name="Normal 14 2 3" xfId="413"/>
    <cellStyle name="Normal 14 2 3 2" xfId="414"/>
    <cellStyle name="Normal 14 2 4" xfId="415"/>
    <cellStyle name="Normal 14 2 4 2" xfId="416"/>
    <cellStyle name="Normal 14 2 5" xfId="417"/>
    <cellStyle name="Normal 14 3" xfId="418"/>
    <cellStyle name="Normal 14 3 2" xfId="419"/>
    <cellStyle name="Normal 14 3 2 2" xfId="420"/>
    <cellStyle name="Normal 14 3 3" xfId="421"/>
    <cellStyle name="Normal 14 3 3 2" xfId="422"/>
    <cellStyle name="Normal 14 3 4" xfId="423"/>
    <cellStyle name="Normal 14 4" xfId="424"/>
    <cellStyle name="Normal 14 4 2" xfId="425"/>
    <cellStyle name="Normal 14 5" xfId="426"/>
    <cellStyle name="Normal 14 5 2" xfId="427"/>
    <cellStyle name="Normal 14 6" xfId="428"/>
    <cellStyle name="Normal 15" xfId="429"/>
    <cellStyle name="Normal 15 2" xfId="430"/>
    <cellStyle name="Normal 16" xfId="431"/>
    <cellStyle name="Normal 16 2" xfId="432"/>
    <cellStyle name="Normal 17" xfId="433"/>
    <cellStyle name="Normal 17 2" xfId="434"/>
    <cellStyle name="Normal 17 2 2" xfId="435"/>
    <cellStyle name="Normal 17 2 2 2" xfId="436"/>
    <cellStyle name="Normal 17 2 2 2 2" xfId="437"/>
    <cellStyle name="Normal 17 2 2 3" xfId="438"/>
    <cellStyle name="Normal 17 2 2 3 2" xfId="439"/>
    <cellStyle name="Normal 17 2 2 4" xfId="440"/>
    <cellStyle name="Normal 17 2 3" xfId="441"/>
    <cellStyle name="Normal 17 2 3 2" xfId="442"/>
    <cellStyle name="Normal 17 2 4" xfId="443"/>
    <cellStyle name="Normal 17 2 4 2" xfId="444"/>
    <cellStyle name="Normal 17 2 5" xfId="445"/>
    <cellStyle name="Normal 17 3" xfId="446"/>
    <cellStyle name="Normal 17 3 2" xfId="447"/>
    <cellStyle name="Normal 17 3 2 2" xfId="448"/>
    <cellStyle name="Normal 17 3 3" xfId="449"/>
    <cellStyle name="Normal 17 3 3 2" xfId="450"/>
    <cellStyle name="Normal 17 3 4" xfId="451"/>
    <cellStyle name="Normal 17 4" xfId="452"/>
    <cellStyle name="Normal 17 4 2" xfId="453"/>
    <cellStyle name="Normal 17 5" xfId="454"/>
    <cellStyle name="Normal 17 5 2" xfId="455"/>
    <cellStyle name="Normal 17 6" xfId="456"/>
    <cellStyle name="Normal 18" xfId="457"/>
    <cellStyle name="Normal 18 2" xfId="458"/>
    <cellStyle name="Normal 18 2 2" xfId="459"/>
    <cellStyle name="Normal 18 2 2 2" xfId="460"/>
    <cellStyle name="Normal 18 2 3" xfId="461"/>
    <cellStyle name="Normal 18 2 3 2" xfId="462"/>
    <cellStyle name="Normal 18 2 4" xfId="463"/>
    <cellStyle name="Normal 18 3" xfId="464"/>
    <cellStyle name="Normal 18 3 2" xfId="465"/>
    <cellStyle name="Normal 18 4" xfId="466"/>
    <cellStyle name="Normal 18 4 2" xfId="467"/>
    <cellStyle name="Normal 18 5" xfId="468"/>
    <cellStyle name="Normal 18 5 2" xfId="469"/>
    <cellStyle name="Normal 18 6" xfId="470"/>
    <cellStyle name="Normal 19" xfId="1"/>
    <cellStyle name="Normal 19 2" xfId="471"/>
    <cellStyle name="Normal 19 2 2" xfId="472"/>
    <cellStyle name="Normal 19 2 2 2" xfId="473"/>
    <cellStyle name="Normal 19 2 3" xfId="474"/>
    <cellStyle name="Normal 19 2 3 2" xfId="475"/>
    <cellStyle name="Normal 19 2 4" xfId="476"/>
    <cellStyle name="Normal 19 3" xfId="477"/>
    <cellStyle name="Normal 19 3 2" xfId="478"/>
    <cellStyle name="Normal 19 4" xfId="479"/>
    <cellStyle name="Normal 19 4 2" xfId="480"/>
    <cellStyle name="Normal 19 5" xfId="481"/>
    <cellStyle name="Normal 2" xfId="3"/>
    <cellStyle name="Normal 2 2" xfId="482"/>
    <cellStyle name="Normal 20" xfId="483"/>
    <cellStyle name="Normal 21" xfId="484"/>
    <cellStyle name="Normal 21 2" xfId="485"/>
    <cellStyle name="Normal 21 2 2" xfId="486"/>
    <cellStyle name="Normal 21 3" xfId="487"/>
    <cellStyle name="Normal 21 3 2" xfId="488"/>
    <cellStyle name="Normal 21 4" xfId="489"/>
    <cellStyle name="Normal 22" xfId="490"/>
    <cellStyle name="Normal 23" xfId="491"/>
    <cellStyle name="Normal 23 2" xfId="492"/>
    <cellStyle name="Normal 24" xfId="493"/>
    <cellStyle name="Normal 25" xfId="494"/>
    <cellStyle name="Normal 25 2" xfId="495"/>
    <cellStyle name="Normal 26" xfId="496"/>
    <cellStyle name="Normal 26 2" xfId="497"/>
    <cellStyle name="Normal 27" xfId="498"/>
    <cellStyle name="Normal 27 2" xfId="499"/>
    <cellStyle name="Normal 3" xfId="500"/>
    <cellStyle name="Normal 3 2" xfId="501"/>
    <cellStyle name="Normal 3 2 2" xfId="502"/>
    <cellStyle name="Normal 3 2 2 2" xfId="503"/>
    <cellStyle name="Normal 3 2 3" xfId="504"/>
    <cellStyle name="Normal 3 2 3 2" xfId="505"/>
    <cellStyle name="Normal 3 2 4" xfId="506"/>
    <cellStyle name="Normal 3 2 4 2" xfId="507"/>
    <cellStyle name="Normal 3 2 5" xfId="508"/>
    <cellStyle name="Normal 3 3" xfId="509"/>
    <cellStyle name="Normal 3 3 2" xfId="510"/>
    <cellStyle name="Normal 3 4" xfId="511"/>
    <cellStyle name="Normal 3 4 2" xfId="512"/>
    <cellStyle name="Normal 3 5" xfId="513"/>
    <cellStyle name="Normal 3 5 2" xfId="514"/>
    <cellStyle name="Normal 3 6" xfId="515"/>
    <cellStyle name="Normal 3 6 2" xfId="516"/>
    <cellStyle name="Normal 3 7" xfId="517"/>
    <cellStyle name="Normal 4" xfId="518"/>
    <cellStyle name="Normal 4 2" xfId="519"/>
    <cellStyle name="Normal 4 2 2" xfId="520"/>
    <cellStyle name="Normal 4 2 2 2" xfId="521"/>
    <cellStyle name="Normal 4 2 3" xfId="522"/>
    <cellStyle name="Normal 4 2 3 2" xfId="523"/>
    <cellStyle name="Normal 4 2 4" xfId="524"/>
    <cellStyle name="Normal 4 2 4 2" xfId="525"/>
    <cellStyle name="Normal 4 2 5" xfId="526"/>
    <cellStyle name="Normal 4 2 5 2" xfId="527"/>
    <cellStyle name="Normal 4 2 6" xfId="528"/>
    <cellStyle name="Normal 4 2 6 2" xfId="529"/>
    <cellStyle name="Normal 4 2 7" xfId="530"/>
    <cellStyle name="Normal 4 3" xfId="531"/>
    <cellStyle name="Normal 4 3 2" xfId="532"/>
    <cellStyle name="Normal 4 3 2 2" xfId="533"/>
    <cellStyle name="Normal 4 3 3" xfId="534"/>
    <cellStyle name="Normal 4 3 3 2" xfId="535"/>
    <cellStyle name="Normal 4 3 4" xfId="536"/>
    <cellStyle name="Normal 4 3 4 2" xfId="537"/>
    <cellStyle name="Normal 4 3 5" xfId="538"/>
    <cellStyle name="Normal 4 3 5 2" xfId="539"/>
    <cellStyle name="Normal 4 3 6" xfId="540"/>
    <cellStyle name="Normal 4 3 6 2" xfId="541"/>
    <cellStyle name="Normal 4 3 7" xfId="542"/>
    <cellStyle name="Normal 4 4" xfId="543"/>
    <cellStyle name="Normal 4 4 2" xfId="544"/>
    <cellStyle name="Normal 4 4 2 2" xfId="545"/>
    <cellStyle name="Normal 4 4 3" xfId="546"/>
    <cellStyle name="Normal 4 4 3 2" xfId="547"/>
    <cellStyle name="Normal 4 4 4" xfId="548"/>
    <cellStyle name="Normal 4 4 4 2" xfId="549"/>
    <cellStyle name="Normal 4 4 5" xfId="550"/>
    <cellStyle name="Normal 4 4 5 2" xfId="551"/>
    <cellStyle name="Normal 4 4 6" xfId="552"/>
    <cellStyle name="Normal 4 4 6 2" xfId="553"/>
    <cellStyle name="Normal 4 4 7" xfId="554"/>
    <cellStyle name="Normal 4 5" xfId="555"/>
    <cellStyle name="Normal 4 6" xfId="556"/>
    <cellStyle name="Normal 4 6 2" xfId="557"/>
    <cellStyle name="Normal 5" xfId="558"/>
    <cellStyle name="Normal 5 2" xfId="559"/>
    <cellStyle name="Normal 5 2 2" xfId="560"/>
    <cellStyle name="Normal 5 3" xfId="561"/>
    <cellStyle name="Normal 5 3 2" xfId="562"/>
    <cellStyle name="Normal 5 4" xfId="563"/>
    <cellStyle name="Normal 5 4 2" xfId="564"/>
    <cellStyle name="Normal 5 5" xfId="565"/>
    <cellStyle name="Normal 5 5 2" xfId="566"/>
    <cellStyle name="Normal 5 6" xfId="567"/>
    <cellStyle name="Normal 5 6 2" xfId="568"/>
    <cellStyle name="Normal 5 7" xfId="569"/>
    <cellStyle name="Normal 5 8" xfId="570"/>
    <cellStyle name="Normal 5 8 2" xfId="571"/>
    <cellStyle name="Normal 6" xfId="572"/>
    <cellStyle name="Normal 6 2" xfId="573"/>
    <cellStyle name="Normal 6 2 2" xfId="574"/>
    <cellStyle name="Normal 6 3" xfId="575"/>
    <cellStyle name="Normal 6 3 2" xfId="576"/>
    <cellStyle name="Normal 6 4" xfId="577"/>
    <cellStyle name="Normal 6 4 2" xfId="578"/>
    <cellStyle name="Normal 6 5" xfId="579"/>
    <cellStyle name="Normal 6 5 2" xfId="580"/>
    <cellStyle name="Normal 6 6" xfId="581"/>
    <cellStyle name="Normal 6 6 2" xfId="582"/>
    <cellStyle name="Normal 6 7" xfId="583"/>
    <cellStyle name="Normal 7" xfId="584"/>
    <cellStyle name="Normal 7 2" xfId="585"/>
    <cellStyle name="Normal 7 2 2" xfId="586"/>
    <cellStyle name="Normal 7 3" xfId="587"/>
    <cellStyle name="Normal 7 3 2" xfId="588"/>
    <cellStyle name="Normal 7 4" xfId="589"/>
    <cellStyle name="Normal 7 4 2" xfId="590"/>
    <cellStyle name="Normal 7 5" xfId="591"/>
    <cellStyle name="Normal 8" xfId="592"/>
    <cellStyle name="Normal 8 2" xfId="593"/>
    <cellStyle name="Normal 8 2 2" xfId="594"/>
    <cellStyle name="Normal 8 3" xfId="595"/>
    <cellStyle name="Normal 8 3 2" xfId="596"/>
    <cellStyle name="Normal 8 4" xfId="597"/>
    <cellStyle name="Normal 8 4 2" xfId="598"/>
    <cellStyle name="Normal 8 5" xfId="599"/>
    <cellStyle name="Normal 8 5 2" xfId="600"/>
    <cellStyle name="Normal 8 6" xfId="601"/>
    <cellStyle name="Normal 8 6 2" xfId="602"/>
    <cellStyle name="Normal 8 7" xfId="603"/>
    <cellStyle name="Normal 9" xfId="604"/>
    <cellStyle name="Normal 9 2" xfId="605"/>
    <cellStyle name="Normal 9 3" xfId="606"/>
    <cellStyle name="Normal 9 3 2" xfId="607"/>
    <cellStyle name="Normal 9 3 2 2" xfId="608"/>
    <cellStyle name="Normal 9 3 2 2 2" xfId="609"/>
    <cellStyle name="Normal 9 3 2 2 2 2" xfId="610"/>
    <cellStyle name="Normal 9 3 2 2 2 2 2" xfId="611"/>
    <cellStyle name="Normal 9 3 2 2 2 3" xfId="612"/>
    <cellStyle name="Normal 9 3 2 2 2 3 2" xfId="613"/>
    <cellStyle name="Normal 9 3 2 2 2 4" xfId="614"/>
    <cellStyle name="Normal 9 3 2 2 3" xfId="615"/>
    <cellStyle name="Normal 9 3 2 2 3 2" xfId="616"/>
    <cellStyle name="Normal 9 3 2 2 4" xfId="617"/>
    <cellStyle name="Normal 9 3 2 2 4 2" xfId="618"/>
    <cellStyle name="Normal 9 3 2 2 5" xfId="619"/>
    <cellStyle name="Normal 9 3 2 3" xfId="620"/>
    <cellStyle name="Normal 9 3 2 3 2" xfId="621"/>
    <cellStyle name="Normal 9 3 2 3 2 2" xfId="622"/>
    <cellStyle name="Normal 9 3 2 3 3" xfId="623"/>
    <cellStyle name="Normal 9 3 2 3 3 2" xfId="624"/>
    <cellStyle name="Normal 9 3 2 3 4" xfId="625"/>
    <cellStyle name="Normal 9 3 2 4" xfId="626"/>
    <cellStyle name="Normal 9 3 2 4 2" xfId="627"/>
    <cellStyle name="Normal 9 3 2 5" xfId="628"/>
    <cellStyle name="Normal 9 3 2 5 2" xfId="629"/>
    <cellStyle name="Normal 9 3 2 6" xfId="630"/>
    <cellStyle name="Normal 9 3 3" xfId="631"/>
    <cellStyle name="Normal 9 3 3 2" xfId="632"/>
    <cellStyle name="Normal 9 3 3 2 2" xfId="633"/>
    <cellStyle name="Normal 9 3 3 2 2 2" xfId="634"/>
    <cellStyle name="Normal 9 3 3 2 3" xfId="635"/>
    <cellStyle name="Normal 9 3 3 2 3 2" xfId="636"/>
    <cellStyle name="Normal 9 3 3 2 4" xfId="637"/>
    <cellStyle name="Normal 9 3 3 3" xfId="638"/>
    <cellStyle name="Normal 9 3 3 3 2" xfId="639"/>
    <cellStyle name="Normal 9 3 3 4" xfId="640"/>
    <cellStyle name="Normal 9 3 3 4 2" xfId="641"/>
    <cellStyle name="Normal 9 3 3 5" xfId="642"/>
    <cellStyle name="Normal 9 3 4" xfId="643"/>
    <cellStyle name="Normal 9 3 4 2" xfId="644"/>
    <cellStyle name="Normal 9 3 4 2 2" xfId="645"/>
    <cellStyle name="Normal 9 3 4 3" xfId="646"/>
    <cellStyle name="Normal 9 3 4 3 2" xfId="647"/>
    <cellStyle name="Normal 9 3 4 4" xfId="648"/>
    <cellStyle name="Normal 9 3 5" xfId="649"/>
    <cellStyle name="Normal 9 3 5 2" xfId="650"/>
    <cellStyle name="Normal 9 3 6" xfId="651"/>
    <cellStyle name="Normal 9 3 6 2" xfId="652"/>
    <cellStyle name="Normal 9 3 7" xfId="653"/>
    <cellStyle name="Normal 9 4" xfId="654"/>
    <cellStyle name="Normal 9 4 2" xfId="655"/>
    <cellStyle name="Normal 9 4 2 2" xfId="656"/>
    <cellStyle name="Normal 9 4 2 2 2" xfId="657"/>
    <cellStyle name="Normal 9 4 2 2 2 2" xfId="658"/>
    <cellStyle name="Normal 9 4 2 2 3" xfId="659"/>
    <cellStyle name="Normal 9 4 2 2 3 2" xfId="660"/>
    <cellStyle name="Normal 9 4 2 2 4" xfId="661"/>
    <cellStyle name="Normal 9 4 2 3" xfId="662"/>
    <cellStyle name="Normal 9 4 2 3 2" xfId="663"/>
    <cellStyle name="Normal 9 4 2 4" xfId="664"/>
    <cellStyle name="Normal 9 4 2 4 2" xfId="665"/>
    <cellStyle name="Normal 9 4 2 5" xfId="666"/>
    <cellStyle name="Normal 9 4 3" xfId="667"/>
    <cellStyle name="Normal 9 4 3 2" xfId="668"/>
    <cellStyle name="Normal 9 4 3 2 2" xfId="669"/>
    <cellStyle name="Normal 9 4 3 3" xfId="670"/>
    <cellStyle name="Normal 9 4 3 3 2" xfId="671"/>
    <cellStyle name="Normal 9 4 3 4" xfId="672"/>
    <cellStyle name="Normal 9 4 4" xfId="673"/>
    <cellStyle name="Normal 9 4 4 2" xfId="674"/>
    <cellStyle name="Normal 9 4 5" xfId="675"/>
    <cellStyle name="Normal 9 4 5 2" xfId="676"/>
    <cellStyle name="Normal 9 4 6" xfId="677"/>
    <cellStyle name="Normal 9 5" xfId="678"/>
    <cellStyle name="Normal 9 5 2" xfId="679"/>
    <cellStyle name="Normal 9 5 2 2" xfId="680"/>
    <cellStyle name="Normal 9 5 2 2 2" xfId="681"/>
    <cellStyle name="Normal 9 5 2 2 2 2" xfId="682"/>
    <cellStyle name="Normal 9 5 2 2 3" xfId="683"/>
    <cellStyle name="Normal 9 5 2 2 3 2" xfId="684"/>
    <cellStyle name="Normal 9 5 2 2 4" xfId="685"/>
    <cellStyle name="Normal 9 5 2 3" xfId="686"/>
    <cellStyle name="Normal 9 5 2 3 2" xfId="687"/>
    <cellStyle name="Normal 9 5 2 4" xfId="688"/>
    <cellStyle name="Normal 9 5 2 4 2" xfId="689"/>
    <cellStyle name="Normal 9 5 2 5" xfId="690"/>
    <cellStyle name="Normal 9 5 3" xfId="691"/>
    <cellStyle name="Normal 9 5 3 2" xfId="692"/>
    <cellStyle name="Normal 9 5 3 2 2" xfId="693"/>
    <cellStyle name="Normal 9 5 3 3" xfId="694"/>
    <cellStyle name="Normal 9 5 3 3 2" xfId="695"/>
    <cellStyle name="Normal 9 5 3 4" xfId="696"/>
    <cellStyle name="Normal 9 5 4" xfId="697"/>
    <cellStyle name="Normal 9 5 4 2" xfId="698"/>
    <cellStyle name="Normal 9 5 5" xfId="699"/>
    <cellStyle name="Normal 9 5 5 2" xfId="700"/>
    <cellStyle name="Normal 9 5 6" xfId="701"/>
    <cellStyle name="Normal 9 6" xfId="702"/>
    <cellStyle name="Normal 9 6 2" xfId="703"/>
    <cellStyle name="Normal 9 6 2 2" xfId="704"/>
    <cellStyle name="Normal 9 6 2 2 2" xfId="705"/>
    <cellStyle name="Normal 9 6 2 2 2 2" xfId="706"/>
    <cellStyle name="Normal 9 6 2 2 3" xfId="707"/>
    <cellStyle name="Normal 9 6 2 2 3 2" xfId="708"/>
    <cellStyle name="Normal 9 6 2 2 4" xfId="709"/>
    <cellStyle name="Normal 9 6 2 3" xfId="710"/>
    <cellStyle name="Normal 9 6 2 3 2" xfId="711"/>
    <cellStyle name="Normal 9 6 2 4" xfId="712"/>
    <cellStyle name="Normal 9 6 2 4 2" xfId="713"/>
    <cellStyle name="Normal 9 6 2 5" xfId="714"/>
    <cellStyle name="Normal 9 6 3" xfId="715"/>
    <cellStyle name="Normal 9 6 3 2" xfId="716"/>
    <cellStyle name="Normal 9 6 3 2 2" xfId="717"/>
    <cellStyle name="Normal 9 6 3 3" xfId="718"/>
    <cellStyle name="Normal 9 6 3 3 2" xfId="719"/>
    <cellStyle name="Normal 9 6 3 4" xfId="720"/>
    <cellStyle name="Normal 9 6 4" xfId="721"/>
    <cellStyle name="Normal 9 6 4 2" xfId="722"/>
    <cellStyle name="Normal 9 6 5" xfId="723"/>
    <cellStyle name="Normal 9 6 5 2" xfId="724"/>
    <cellStyle name="Normal 9 6 6" xfId="725"/>
    <cellStyle name="Note" xfId="859" builtinId="10" customBuiltin="1"/>
    <cellStyle name="Note 2" xfId="726"/>
    <cellStyle name="Note 2 2" xfId="896"/>
    <cellStyle name="Note 2 3" xfId="893"/>
    <cellStyle name="Output" xfId="854" builtinId="21" customBuiltin="1"/>
    <cellStyle name="Output 2" xfId="727"/>
    <cellStyle name="Output 2 2" xfId="728"/>
    <cellStyle name="Output 2 2 2" xfId="729"/>
    <cellStyle name="Output 2 2 2 2" xfId="899"/>
    <cellStyle name="Output 2 2 2 3" xfId="890"/>
    <cellStyle name="Output 2 2 3" xfId="898"/>
    <cellStyle name="Output 2 2 4" xfId="891"/>
    <cellStyle name="Output 2 3" xfId="730"/>
    <cellStyle name="Output 2 3 2" xfId="900"/>
    <cellStyle name="Output 2 3 3" xfId="889"/>
    <cellStyle name="Output 2 4" xfId="897"/>
    <cellStyle name="Output 2 5" xfId="892"/>
    <cellStyle name="Percent" xfId="6" builtinId="5"/>
    <cellStyle name="Percent %" xfId="731"/>
    <cellStyle name="Percent % Long Underline" xfId="732"/>
    <cellStyle name="Percent (0)" xfId="733"/>
    <cellStyle name="Percent (0) 2" xfId="734"/>
    <cellStyle name="Percent (0) 3" xfId="735"/>
    <cellStyle name="Percent (0) 4" xfId="736"/>
    <cellStyle name="Percent (0) 5" xfId="737"/>
    <cellStyle name="Percent (0) 6" xfId="738"/>
    <cellStyle name="Percent 0.0%" xfId="739"/>
    <cellStyle name="Percent 0.0% Long Underline" xfId="740"/>
    <cellStyle name="Percent 0.00%" xfId="741"/>
    <cellStyle name="Percent 0.00% Long Underline" xfId="742"/>
    <cellStyle name="Percent 0.000%" xfId="743"/>
    <cellStyle name="Percent 0.000% Long Underline" xfId="744"/>
    <cellStyle name="Percent 10" xfId="745"/>
    <cellStyle name="Percent 11" xfId="746"/>
    <cellStyle name="Percent 12" xfId="747"/>
    <cellStyle name="Percent 13" xfId="748"/>
    <cellStyle name="Percent 13 2" xfId="749"/>
    <cellStyle name="Percent 13 2 2" xfId="750"/>
    <cellStyle name="Percent 13 2 2 2" xfId="751"/>
    <cellStyle name="Percent 13 2 2 2 2" xfId="752"/>
    <cellStyle name="Percent 13 2 2 3" xfId="753"/>
    <cellStyle name="Percent 13 2 2 3 2" xfId="754"/>
    <cellStyle name="Percent 13 2 2 4" xfId="755"/>
    <cellStyle name="Percent 13 2 3" xfId="756"/>
    <cellStyle name="Percent 13 2 3 2" xfId="757"/>
    <cellStyle name="Percent 13 2 4" xfId="758"/>
    <cellStyle name="Percent 13 2 4 2" xfId="759"/>
    <cellStyle name="Percent 13 2 5" xfId="760"/>
    <cellStyle name="Percent 13 3" xfId="761"/>
    <cellStyle name="Percent 13 3 2" xfId="762"/>
    <cellStyle name="Percent 13 3 2 2" xfId="763"/>
    <cellStyle name="Percent 13 3 3" xfId="764"/>
    <cellStyle name="Percent 13 3 3 2" xfId="765"/>
    <cellStyle name="Percent 13 3 4" xfId="766"/>
    <cellStyle name="Percent 13 4" xfId="767"/>
    <cellStyle name="Percent 13 4 2" xfId="768"/>
    <cellStyle name="Percent 13 5" xfId="769"/>
    <cellStyle name="Percent 13 5 2" xfId="770"/>
    <cellStyle name="Percent 13 6" xfId="771"/>
    <cellStyle name="Percent 14" xfId="772"/>
    <cellStyle name="Percent 15" xfId="773"/>
    <cellStyle name="Percent 16" xfId="774"/>
    <cellStyle name="Percent 17" xfId="775"/>
    <cellStyle name="Percent 18" xfId="776"/>
    <cellStyle name="Percent 19" xfId="777"/>
    <cellStyle name="Percent 2" xfId="4"/>
    <cellStyle name="Percent 2 10" xfId="778"/>
    <cellStyle name="Percent 2 11" xfId="779"/>
    <cellStyle name="Percent 2 12" xfId="780"/>
    <cellStyle name="Percent 2 13" xfId="781"/>
    <cellStyle name="Percent 2 14" xfId="782"/>
    <cellStyle name="Percent 2 15" xfId="783"/>
    <cellStyle name="Percent 2 16" xfId="784"/>
    <cellStyle name="Percent 2 17" xfId="785"/>
    <cellStyle name="Percent 2 18" xfId="786"/>
    <cellStyle name="Percent 2 19" xfId="787"/>
    <cellStyle name="Percent 2 2" xfId="788"/>
    <cellStyle name="Percent 2 3" xfId="789"/>
    <cellStyle name="Percent 2 4" xfId="790"/>
    <cellStyle name="Percent 2 5" xfId="791"/>
    <cellStyle name="Percent 2 6" xfId="792"/>
    <cellStyle name="Percent 2 7" xfId="793"/>
    <cellStyle name="Percent 2 8" xfId="794"/>
    <cellStyle name="Percent 2 9" xfId="795"/>
    <cellStyle name="Percent 20" xfId="796"/>
    <cellStyle name="Percent 21" xfId="797"/>
    <cellStyle name="Percent 21 2" xfId="798"/>
    <cellStyle name="Percent 21 2 2" xfId="799"/>
    <cellStyle name="Percent 21 2 2 2" xfId="800"/>
    <cellStyle name="Percent 21 2 3" xfId="801"/>
    <cellStyle name="Percent 21 2 3 2" xfId="802"/>
    <cellStyle name="Percent 21 2 4" xfId="803"/>
    <cellStyle name="Percent 21 3" xfId="804"/>
    <cellStyle name="Percent 21 3 2" xfId="805"/>
    <cellStyle name="Percent 21 4" xfId="806"/>
    <cellStyle name="Percent 21 4 2" xfId="807"/>
    <cellStyle name="Percent 21 5" xfId="808"/>
    <cellStyle name="Percent 22" xfId="809"/>
    <cellStyle name="Percent 23" xfId="810"/>
    <cellStyle name="Percent 24" xfId="811"/>
    <cellStyle name="Percent 24 2" xfId="812"/>
    <cellStyle name="Percent 25" xfId="813"/>
    <cellStyle name="Percent 25 2" xfId="814"/>
    <cellStyle name="Percent 3" xfId="815"/>
    <cellStyle name="Percent 4" xfId="816"/>
    <cellStyle name="Percent 4 2" xfId="817"/>
    <cellStyle name="Percent 4 3" xfId="818"/>
    <cellStyle name="Percent 4 4" xfId="819"/>
    <cellStyle name="Percent 4 5" xfId="820"/>
    <cellStyle name="Percent 5" xfId="821"/>
    <cellStyle name="Percent 5 2" xfId="822"/>
    <cellStyle name="Percent 5 3" xfId="823"/>
    <cellStyle name="Percent 5 4" xfId="824"/>
    <cellStyle name="Percent 5 5" xfId="825"/>
    <cellStyle name="Percent 6" xfId="826"/>
    <cellStyle name="Percent 6 2" xfId="827"/>
    <cellStyle name="Percent 6 3" xfId="828"/>
    <cellStyle name="Percent 7" xfId="829"/>
    <cellStyle name="Percent 8" xfId="830"/>
    <cellStyle name="Percent 9" xfId="831"/>
    <cellStyle name="Shaded" xfId="832"/>
    <cellStyle name="Style 1" xfId="833"/>
    <cellStyle name="Style 1 2" xfId="834"/>
    <cellStyle name="Style 1 3" xfId="835"/>
    <cellStyle name="Style 1 4" xfId="836"/>
    <cellStyle name="Style 1 5" xfId="837"/>
    <cellStyle name="Style 1 6" xfId="838"/>
    <cellStyle name="Tickmark" xfId="839"/>
    <cellStyle name="Tickmark 2" xfId="840"/>
    <cellStyle name="Title" xfId="845" builtinId="15" customBuiltin="1"/>
    <cellStyle name="Title 2" xfId="841"/>
    <cellStyle name="Total" xfId="861" builtinId="25" customBuiltin="1"/>
    <cellStyle name="Total 2" xfId="842"/>
    <cellStyle name="Total 2 2" xfId="902"/>
    <cellStyle name="Total 2 3" xfId="887"/>
    <cellStyle name="Warning Text" xfId="858" builtinId="11" customBuiltin="1"/>
    <cellStyle name="Warning Text 2" xfId="843"/>
  </cellStyles>
  <dxfs count="0"/>
  <tableStyles count="0" defaultTableStyle="TableStyleMedium2" defaultPivotStyle="PivotStyleLight16"/>
  <colors>
    <mruColors>
      <color rgb="FFEDF2F9"/>
      <color rgb="FF0000FF"/>
      <color rgb="FF000000"/>
      <color rgb="FFFF9900"/>
      <color rgb="FFFFAB2F"/>
      <color rgb="FF14EAEA"/>
      <color rgb="FF00FF99"/>
      <color rgb="FF00C0B5"/>
      <color rgb="FFFFFFCC"/>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ysClr val="windowText" lastClr="000000"/>
                </a:solidFill>
                <a:latin typeface="+mn-lt"/>
                <a:ea typeface="+mn-ea"/>
                <a:cs typeface="+mn-cs"/>
              </a:defRPr>
            </a:pPr>
            <a:r>
              <a:rPr lang="en-US" sz="1300" b="1">
                <a:solidFill>
                  <a:sysClr val="windowText" lastClr="000000"/>
                </a:solidFill>
              </a:rPr>
              <a:t>Cumulative Cash Flow: System Owner</a:t>
            </a:r>
          </a:p>
        </c:rich>
      </c:tx>
      <c:layout/>
      <c:overlay val="0"/>
      <c:spPr>
        <a:noFill/>
        <a:ln>
          <a:noFill/>
        </a:ln>
        <a:effectLst/>
      </c:spPr>
    </c:title>
    <c:autoTitleDeleted val="0"/>
    <c:plotArea>
      <c:layout/>
      <c:barChart>
        <c:barDir val="col"/>
        <c:grouping val="clustered"/>
        <c:varyColors val="0"/>
        <c:ser>
          <c:idx val="0"/>
          <c:order val="0"/>
          <c:tx>
            <c:v>Cumulative Cash Flow</c:v>
          </c:tx>
          <c:spPr>
            <a:solidFill>
              <a:srgbClr val="FFAB2F"/>
            </a:solidFill>
            <a:ln>
              <a:noFill/>
            </a:ln>
            <a:effectLst/>
            <a:scene3d>
              <a:camera prst="orthographicFront"/>
              <a:lightRig rig="threePt" dir="t"/>
            </a:scene3d>
            <a:sp3d prstMaterial="matte">
              <a:bevelT w="63500" h="63500" prst="artDeco"/>
              <a:contourClr>
                <a:srgbClr val="000000"/>
              </a:contourClr>
            </a:sp3d>
          </c:spPr>
          <c:invertIfNegative val="0"/>
          <c:cat>
            <c:numRef>
              <c:f>Community_Solar_Business_Case!$F$20:$AD$20</c:f>
              <c:numCache>
                <c:formatCode>General</c:formatCode>
                <c:ptCount val="25"/>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numCache>
            </c:numRef>
          </c:cat>
          <c:val>
            <c:numRef>
              <c:f>Community_Solar_Business_Case!$E$60:$AD$60</c:f>
              <c:numCache>
                <c:formatCode>"$"#,##0_);[Red]\("$"#,##0\)</c:formatCode>
                <c:ptCount val="26"/>
                <c:pt idx="0">
                  <c:v>-1446516.4816129035</c:v>
                </c:pt>
                <c:pt idx="1">
                  <c:v>-1043133.2595161293</c:v>
                </c:pt>
                <c:pt idx="2">
                  <c:v>-534680.63375060505</c:v>
                </c:pt>
                <c:pt idx="3">
                  <c:v>-121670.73112435814</c:v>
                </c:pt>
                <c:pt idx="4">
                  <c:v>232751.16158104758</c:v>
                </c:pt>
                <c:pt idx="5">
                  <c:v>585817.61757819122</c:v>
                </c:pt>
                <c:pt idx="6">
                  <c:v>658867.984315346</c:v>
                </c:pt>
                <c:pt idx="7">
                  <c:v>688633.26465771219</c:v>
                </c:pt>
                <c:pt idx="8">
                  <c:v>718113.07679744612</c:v>
                </c:pt>
                <c:pt idx="9">
                  <c:v>747298.85668846883</c:v>
                </c:pt>
                <c:pt idx="10">
                  <c:v>776181.783363319</c:v>
                </c:pt>
                <c:pt idx="11">
                  <c:v>804752.77122551145</c:v>
                </c:pt>
                <c:pt idx="12">
                  <c:v>833002.46211066644</c:v>
                </c:pt>
                <c:pt idx="13">
                  <c:v>860921.21710947284</c:v>
                </c:pt>
                <c:pt idx="14">
                  <c:v>888499.10814534023</c:v>
                </c:pt>
                <c:pt idx="15">
                  <c:v>915725.90929938038</c:v>
                </c:pt>
                <c:pt idx="16">
                  <c:v>942591.0878751385</c:v>
                </c:pt>
                <c:pt idx="17">
                  <c:v>969083.79519526614</c:v>
                </c:pt>
                <c:pt idx="18">
                  <c:v>995192.85712209437</c:v>
                </c:pt>
                <c:pt idx="19">
                  <c:v>1020906.7642938242</c:v>
                </c:pt>
                <c:pt idx="20">
                  <c:v>1046213.6620678027</c:v>
                </c:pt>
                <c:pt idx="21">
                  <c:v>1071101.3401620975</c:v>
                </c:pt>
                <c:pt idx="22">
                  <c:v>1095557.2219863178</c:v>
                </c:pt>
                <c:pt idx="23">
                  <c:v>1119568.3536523615</c:v>
                </c:pt>
                <c:pt idx="24">
                  <c:v>1143121.3926554832</c:v>
                </c:pt>
                <c:pt idx="25">
                  <c:v>1166202.5962157955</c:v>
                </c:pt>
              </c:numCache>
            </c:numRef>
          </c:val>
          <c:extLst xmlns:c16r2="http://schemas.microsoft.com/office/drawing/2015/06/chart">
            <c:ext xmlns:c16="http://schemas.microsoft.com/office/drawing/2014/chart" uri="{C3380CC4-5D6E-409C-BE32-E72D297353CC}">
              <c16:uniqueId val="{00000000-9A2C-483D-9A30-8D4FF51BEC1A}"/>
            </c:ext>
          </c:extLst>
        </c:ser>
        <c:dLbls>
          <c:showLegendKey val="0"/>
          <c:showVal val="0"/>
          <c:showCatName val="0"/>
          <c:showSerName val="0"/>
          <c:showPercent val="0"/>
          <c:showBubbleSize val="0"/>
        </c:dLbls>
        <c:gapWidth val="219"/>
        <c:overlap val="-27"/>
        <c:axId val="138442240"/>
        <c:axId val="137439488"/>
      </c:barChart>
      <c:catAx>
        <c:axId val="13844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dk1"/>
                </a:solidFill>
                <a:latin typeface="+mn-lt"/>
                <a:ea typeface="+mn-ea"/>
                <a:cs typeface="+mn-cs"/>
              </a:defRPr>
            </a:pPr>
            <a:endParaRPr lang="en-US"/>
          </a:p>
        </c:txPr>
        <c:crossAx val="137439488"/>
        <c:crosses val="autoZero"/>
        <c:auto val="1"/>
        <c:lblAlgn val="ctr"/>
        <c:lblOffset val="100"/>
        <c:noMultiLvlLbl val="0"/>
      </c:catAx>
      <c:valAx>
        <c:axId val="1374394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8442240"/>
        <c:crosses val="autoZero"/>
        <c:crossBetween val="between"/>
      </c:valAx>
      <c:spPr>
        <a:noFill/>
        <a:ln>
          <a:noFill/>
        </a:ln>
        <a:effectLst/>
      </c:spPr>
    </c:plotArea>
    <c:plotVisOnly val="1"/>
    <c:dispBlanksAs val="gap"/>
    <c:showDLblsOverMax val="0"/>
  </c:chart>
  <c:spPr>
    <a:solidFill>
      <a:srgbClr val="EDF2F9"/>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200" b="1">
                <a:solidFill>
                  <a:sysClr val="windowText" lastClr="000000"/>
                </a:solidFill>
              </a:rPr>
              <a:t>Cumulative Cash Flow: Subscriber - Not Subsidized</a:t>
            </a:r>
          </a:p>
        </c:rich>
      </c:tx>
      <c:layout/>
      <c:overlay val="0"/>
      <c:spPr>
        <a:noFill/>
        <a:ln>
          <a:noFill/>
        </a:ln>
        <a:effectLst/>
      </c:spPr>
    </c:title>
    <c:autoTitleDeleted val="0"/>
    <c:plotArea>
      <c:layout/>
      <c:barChart>
        <c:barDir val="col"/>
        <c:grouping val="clustered"/>
        <c:varyColors val="0"/>
        <c:ser>
          <c:idx val="0"/>
          <c:order val="0"/>
          <c:spPr>
            <a:solidFill>
              <a:srgbClr val="FFAB2F"/>
            </a:solidFill>
            <a:ln>
              <a:noFill/>
            </a:ln>
            <a:effectLst/>
            <a:scene3d>
              <a:camera prst="orthographicFront"/>
              <a:lightRig rig="threePt" dir="t"/>
            </a:scene3d>
            <a:sp3d prstMaterial="matte">
              <a:bevelT w="63500" h="63500" prst="artDeco"/>
              <a:contourClr>
                <a:srgbClr val="000000"/>
              </a:contourClr>
            </a:sp3d>
          </c:spPr>
          <c:invertIfNegative val="0"/>
          <c:cat>
            <c:numRef>
              <c:f>Community_Solar_Business_Case!$F$115:$AD$115</c:f>
              <c:numCache>
                <c:formatCode>General</c:formatCode>
                <c:ptCount val="25"/>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numCache>
            </c:numRef>
          </c:cat>
          <c:val>
            <c:numRef>
              <c:f>Community_Solar_Business_Case!$F$130:$AD$130</c:f>
              <c:numCache>
                <c:formatCode>"$"#,##0.00_);[Red]\("$"#,##0.00\)</c:formatCode>
                <c:ptCount val="25"/>
                <c:pt idx="0">
                  <c:v>66.845668479171081</c:v>
                </c:pt>
                <c:pt idx="1">
                  <c:v>142.7114498517488</c:v>
                </c:pt>
                <c:pt idx="2">
                  <c:v>227.79123678017891</c:v>
                </c:pt>
                <c:pt idx="3">
                  <c:v>322.28273125489096</c:v>
                </c:pt>
                <c:pt idx="4">
                  <c:v>426.38750654492839</c:v>
                </c:pt>
                <c:pt idx="5">
                  <c:v>540.31106964903336</c:v>
                </c:pt>
                <c:pt idx="6">
                  <c:v>664.262924227133</c:v>
                </c:pt>
                <c:pt idx="7">
                  <c:v>798.456633990672</c:v>
                </c:pt>
                <c:pt idx="8">
                  <c:v>943.10988652866877</c:v>
                </c:pt>
                <c:pt idx="9">
                  <c:v>1098.4445575447294</c:v>
                </c:pt>
                <c:pt idx="10">
                  <c:v>1264.6867754785428</c:v>
                </c:pt>
                <c:pt idx="11">
                  <c:v>1442.0669864835882</c:v>
                </c:pt>
                <c:pt idx="12">
                  <c:v>1630.8200197309177</c:v>
                </c:pt>
                <c:pt idx="13">
                  <c:v>1831.1851530069293</c:v>
                </c:pt>
                <c:pt idx="14">
                  <c:v>2043.406178571003</c:v>
                </c:pt>
                <c:pt idx="15">
                  <c:v>2267.731469236754</c:v>
                </c:pt>
                <c:pt idx="16">
                  <c:v>2504.4140446384386</c:v>
                </c:pt>
                <c:pt idx="17">
                  <c:v>2753.7116376417362</c:v>
                </c:pt>
                <c:pt idx="18">
                  <c:v>3015.8867608557234</c:v>
                </c:pt>
                <c:pt idx="19">
                  <c:v>3291.2067732003379</c:v>
                </c:pt>
                <c:pt idx="20">
                  <c:v>3579.943946481018</c:v>
                </c:pt>
                <c:pt idx="21">
                  <c:v>3882.3755319194684</c:v>
                </c:pt>
                <c:pt idx="22">
                  <c:v>4198.7838265866631</c:v>
                </c:pt>
                <c:pt idx="23">
                  <c:v>4529.4562396812298</c:v>
                </c:pt>
                <c:pt idx="24">
                  <c:v>4874.6853585932795</c:v>
                </c:pt>
              </c:numCache>
            </c:numRef>
          </c:val>
          <c:extLst xmlns:c16r2="http://schemas.microsoft.com/office/drawing/2015/06/chart">
            <c:ext xmlns:c16="http://schemas.microsoft.com/office/drawing/2014/chart" uri="{C3380CC4-5D6E-409C-BE32-E72D297353CC}">
              <c16:uniqueId val="{00000000-B880-495E-B421-DC1D1A0A89CA}"/>
            </c:ext>
          </c:extLst>
        </c:ser>
        <c:dLbls>
          <c:showLegendKey val="0"/>
          <c:showVal val="0"/>
          <c:showCatName val="0"/>
          <c:showSerName val="0"/>
          <c:showPercent val="0"/>
          <c:showBubbleSize val="0"/>
        </c:dLbls>
        <c:gapWidth val="219"/>
        <c:overlap val="-27"/>
        <c:axId val="136613888"/>
        <c:axId val="137441216"/>
      </c:barChart>
      <c:catAx>
        <c:axId val="13661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137441216"/>
        <c:crosses val="autoZero"/>
        <c:auto val="1"/>
        <c:lblAlgn val="ctr"/>
        <c:lblOffset val="100"/>
        <c:noMultiLvlLbl val="0"/>
      </c:catAx>
      <c:valAx>
        <c:axId val="137441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6613888"/>
        <c:crosses val="autoZero"/>
        <c:crossBetween val="between"/>
      </c:valAx>
      <c:spPr>
        <a:noFill/>
        <a:ln>
          <a:noFill/>
        </a:ln>
        <a:effectLst/>
      </c:spPr>
    </c:plotArea>
    <c:plotVisOnly val="1"/>
    <c:dispBlanksAs val="gap"/>
    <c:showDLblsOverMax val="0"/>
  </c:chart>
  <c:spPr>
    <a:solidFill>
      <a:srgbClr val="EDF2F9"/>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200" b="1">
                <a:solidFill>
                  <a:sysClr val="windowText" lastClr="000000"/>
                </a:solidFill>
              </a:rPr>
              <a:t>Cumulative Cash Flow: Subscriber -</a:t>
            </a:r>
            <a:r>
              <a:rPr lang="en-US" sz="1200" b="1" baseline="0">
                <a:solidFill>
                  <a:sysClr val="windowText" lastClr="000000"/>
                </a:solidFill>
              </a:rPr>
              <a:t> </a:t>
            </a:r>
            <a:r>
              <a:rPr lang="en-US" sz="1200" b="1">
                <a:solidFill>
                  <a:sysClr val="windowText" lastClr="000000"/>
                </a:solidFill>
              </a:rPr>
              <a:t>Subsidized</a:t>
            </a:r>
          </a:p>
        </c:rich>
      </c:tx>
      <c:layout/>
      <c:overlay val="0"/>
      <c:spPr>
        <a:noFill/>
        <a:ln>
          <a:noFill/>
        </a:ln>
        <a:effectLst/>
      </c:spPr>
    </c:title>
    <c:autoTitleDeleted val="0"/>
    <c:plotArea>
      <c:layout/>
      <c:barChart>
        <c:barDir val="col"/>
        <c:grouping val="clustered"/>
        <c:varyColors val="0"/>
        <c:ser>
          <c:idx val="0"/>
          <c:order val="0"/>
          <c:spPr>
            <a:solidFill>
              <a:srgbClr val="FFAB2F"/>
            </a:solidFill>
            <a:ln>
              <a:noFill/>
            </a:ln>
            <a:effectLst/>
            <a:scene3d>
              <a:camera prst="orthographicFront"/>
              <a:lightRig rig="threePt" dir="t"/>
            </a:scene3d>
            <a:sp3d prstMaterial="matte">
              <a:bevelT w="63500" h="63500" prst="artDeco"/>
              <a:contourClr>
                <a:srgbClr val="000000"/>
              </a:contourClr>
            </a:sp3d>
          </c:spPr>
          <c:invertIfNegative val="0"/>
          <c:cat>
            <c:numRef>
              <c:f>Community_Solar_Business_Case!$F$149:$AD$149</c:f>
              <c:numCache>
                <c:formatCode>General</c:formatCode>
                <c:ptCount val="25"/>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pt idx="22">
                  <c:v>2041</c:v>
                </c:pt>
                <c:pt idx="23">
                  <c:v>2042</c:v>
                </c:pt>
                <c:pt idx="24">
                  <c:v>2043</c:v>
                </c:pt>
              </c:numCache>
            </c:numRef>
          </c:cat>
          <c:val>
            <c:numRef>
              <c:f>Community_Solar_Business_Case!$F$165:$AD$165</c:f>
              <c:numCache>
                <c:formatCode>"$"#,##0.00_);[Red]\("$"#,##0.00\)</c:formatCode>
                <c:ptCount val="25"/>
                <c:pt idx="0">
                  <c:v>232.44566847917105</c:v>
                </c:pt>
                <c:pt idx="1">
                  <c:v>473.91144985174878</c:v>
                </c:pt>
                <c:pt idx="2">
                  <c:v>724.59123678017886</c:v>
                </c:pt>
                <c:pt idx="3">
                  <c:v>984.682731254891</c:v>
                </c:pt>
                <c:pt idx="4">
                  <c:v>1254.3875065449283</c:v>
                </c:pt>
                <c:pt idx="5">
                  <c:v>1533.9110696490334</c:v>
                </c:pt>
                <c:pt idx="6">
                  <c:v>1823.462924227133</c:v>
                </c:pt>
                <c:pt idx="7">
                  <c:v>2123.2566339906721</c:v>
                </c:pt>
                <c:pt idx="8">
                  <c:v>2433.5098865286686</c:v>
                </c:pt>
                <c:pt idx="9">
                  <c:v>2754.4445575447294</c:v>
                </c:pt>
                <c:pt idx="10">
                  <c:v>3086.2867754785429</c:v>
                </c:pt>
                <c:pt idx="11">
                  <c:v>3429.2669864835884</c:v>
                </c:pt>
                <c:pt idx="12">
                  <c:v>3783.6200197309181</c:v>
                </c:pt>
                <c:pt idx="13">
                  <c:v>4149.5851530069294</c:v>
                </c:pt>
                <c:pt idx="14">
                  <c:v>4527.4061785710028</c:v>
                </c:pt>
                <c:pt idx="15">
                  <c:v>4917.3314692367539</c:v>
                </c:pt>
                <c:pt idx="16">
                  <c:v>5319.6140446384388</c:v>
                </c:pt>
                <c:pt idx="17">
                  <c:v>5734.5116376417363</c:v>
                </c:pt>
                <c:pt idx="18">
                  <c:v>6162.2867608557235</c:v>
                </c:pt>
                <c:pt idx="19">
                  <c:v>6603.2067732003379</c:v>
                </c:pt>
                <c:pt idx="20">
                  <c:v>7057.5439464810179</c:v>
                </c:pt>
                <c:pt idx="21">
                  <c:v>7525.5755319194686</c:v>
                </c:pt>
                <c:pt idx="22">
                  <c:v>8007.5838265866632</c:v>
                </c:pt>
                <c:pt idx="23">
                  <c:v>8503.8562396812304</c:v>
                </c:pt>
                <c:pt idx="24">
                  <c:v>9014.6853585932804</c:v>
                </c:pt>
              </c:numCache>
            </c:numRef>
          </c:val>
          <c:extLst xmlns:c16r2="http://schemas.microsoft.com/office/drawing/2015/06/chart">
            <c:ext xmlns:c16="http://schemas.microsoft.com/office/drawing/2014/chart" uri="{C3380CC4-5D6E-409C-BE32-E72D297353CC}">
              <c16:uniqueId val="{00000000-8527-4791-B5DE-D372B6BA59D1}"/>
            </c:ext>
          </c:extLst>
        </c:ser>
        <c:dLbls>
          <c:showLegendKey val="0"/>
          <c:showVal val="0"/>
          <c:showCatName val="0"/>
          <c:showSerName val="0"/>
          <c:showPercent val="0"/>
          <c:showBubbleSize val="0"/>
        </c:dLbls>
        <c:gapWidth val="219"/>
        <c:overlap val="-27"/>
        <c:axId val="136615424"/>
        <c:axId val="137442944"/>
      </c:barChart>
      <c:catAx>
        <c:axId val="13661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137442944"/>
        <c:crosses val="autoZero"/>
        <c:auto val="1"/>
        <c:lblAlgn val="ctr"/>
        <c:lblOffset val="100"/>
        <c:noMultiLvlLbl val="0"/>
      </c:catAx>
      <c:valAx>
        <c:axId val="1374429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6615424"/>
        <c:crosses val="autoZero"/>
        <c:crossBetween val="between"/>
      </c:valAx>
      <c:spPr>
        <a:noFill/>
        <a:ln>
          <a:noFill/>
        </a:ln>
        <a:effectLst/>
      </c:spPr>
    </c:plotArea>
    <c:plotVisOnly val="1"/>
    <c:dispBlanksAs val="gap"/>
    <c:showDLblsOverMax val="0"/>
  </c:chart>
  <c:spPr>
    <a:solidFill>
      <a:srgbClr val="EDF2F9"/>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200" b="1">
                <a:solidFill>
                  <a:sysClr val="windowText" lastClr="000000"/>
                </a:solidFill>
              </a:rPr>
              <a:t>Cumulative Cash Flow: Host Site</a:t>
            </a:r>
          </a:p>
        </c:rich>
      </c:tx>
      <c:layout/>
      <c:overlay val="0"/>
      <c:spPr>
        <a:noFill/>
        <a:ln>
          <a:noFill/>
        </a:ln>
        <a:effectLst/>
      </c:spPr>
    </c:title>
    <c:autoTitleDeleted val="0"/>
    <c:plotArea>
      <c:layout/>
      <c:barChart>
        <c:barDir val="col"/>
        <c:grouping val="clustered"/>
        <c:varyColors val="0"/>
        <c:ser>
          <c:idx val="0"/>
          <c:order val="0"/>
          <c:spPr>
            <a:solidFill>
              <a:srgbClr val="FFAB2F"/>
            </a:solidFill>
            <a:ln>
              <a:noFill/>
            </a:ln>
            <a:effectLst/>
            <a:scene3d>
              <a:camera prst="orthographicFront"/>
              <a:lightRig rig="threePt" dir="t"/>
            </a:scene3d>
            <a:sp3d prstMaterial="matte">
              <a:bevelT w="63500" h="63500" prst="artDeco"/>
              <a:contourClr>
                <a:srgbClr val="000000"/>
              </a:contourClr>
            </a:sp3d>
          </c:spPr>
          <c:invertIfNegative val="0"/>
          <c:cat>
            <c:numRef>
              <c:f>Community_Solar_Business_Case!$F$79:$AD$79</c:f>
              <c:numCache>
                <c:formatCode>General</c:formatCode>
                <c:ptCount val="25"/>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numCache>
            </c:numRef>
          </c:cat>
          <c:val>
            <c:numRef>
              <c:f>Community_Solar_Business_Case!$F$165:$AD$165</c:f>
              <c:numCache>
                <c:formatCode>"$"#,##0.00_);[Red]\("$"#,##0.00\)</c:formatCode>
                <c:ptCount val="25"/>
                <c:pt idx="0">
                  <c:v>232.44566847917105</c:v>
                </c:pt>
                <c:pt idx="1">
                  <c:v>473.91144985174878</c:v>
                </c:pt>
                <c:pt idx="2">
                  <c:v>724.59123678017886</c:v>
                </c:pt>
                <c:pt idx="3">
                  <c:v>984.682731254891</c:v>
                </c:pt>
                <c:pt idx="4">
                  <c:v>1254.3875065449283</c:v>
                </c:pt>
                <c:pt idx="5">
                  <c:v>1533.9110696490334</c:v>
                </c:pt>
                <c:pt idx="6">
                  <c:v>1823.462924227133</c:v>
                </c:pt>
                <c:pt idx="7">
                  <c:v>2123.2566339906721</c:v>
                </c:pt>
                <c:pt idx="8">
                  <c:v>2433.5098865286686</c:v>
                </c:pt>
                <c:pt idx="9">
                  <c:v>2754.4445575447294</c:v>
                </c:pt>
                <c:pt idx="10">
                  <c:v>3086.2867754785429</c:v>
                </c:pt>
                <c:pt idx="11">
                  <c:v>3429.2669864835884</c:v>
                </c:pt>
                <c:pt idx="12">
                  <c:v>3783.6200197309181</c:v>
                </c:pt>
                <c:pt idx="13">
                  <c:v>4149.5851530069294</c:v>
                </c:pt>
                <c:pt idx="14">
                  <c:v>4527.4061785710028</c:v>
                </c:pt>
                <c:pt idx="15">
                  <c:v>4917.3314692367539</c:v>
                </c:pt>
                <c:pt idx="16">
                  <c:v>5319.6140446384388</c:v>
                </c:pt>
                <c:pt idx="17">
                  <c:v>5734.5116376417363</c:v>
                </c:pt>
                <c:pt idx="18">
                  <c:v>6162.2867608557235</c:v>
                </c:pt>
                <c:pt idx="19">
                  <c:v>6603.2067732003379</c:v>
                </c:pt>
                <c:pt idx="20">
                  <c:v>7057.5439464810179</c:v>
                </c:pt>
                <c:pt idx="21">
                  <c:v>7525.5755319194686</c:v>
                </c:pt>
                <c:pt idx="22">
                  <c:v>8007.5838265866632</c:v>
                </c:pt>
                <c:pt idx="23">
                  <c:v>8503.8562396812304</c:v>
                </c:pt>
                <c:pt idx="24">
                  <c:v>9014.6853585932804</c:v>
                </c:pt>
              </c:numCache>
            </c:numRef>
          </c:val>
          <c:extLst xmlns:c16r2="http://schemas.microsoft.com/office/drawing/2015/06/chart">
            <c:ext xmlns:c16="http://schemas.microsoft.com/office/drawing/2014/chart" uri="{C3380CC4-5D6E-409C-BE32-E72D297353CC}">
              <c16:uniqueId val="{00000000-8527-4791-B5DE-D372B6BA59D1}"/>
            </c:ext>
          </c:extLst>
        </c:ser>
        <c:dLbls>
          <c:showLegendKey val="0"/>
          <c:showVal val="0"/>
          <c:showCatName val="0"/>
          <c:showSerName val="0"/>
          <c:showPercent val="0"/>
          <c:showBubbleSize val="0"/>
        </c:dLbls>
        <c:gapWidth val="219"/>
        <c:overlap val="-27"/>
        <c:axId val="136616448"/>
        <c:axId val="137444672"/>
      </c:barChart>
      <c:catAx>
        <c:axId val="13661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rgbClr val="000000"/>
                </a:solidFill>
                <a:latin typeface="+mn-lt"/>
                <a:ea typeface="+mn-ea"/>
                <a:cs typeface="+mn-cs"/>
              </a:defRPr>
            </a:pPr>
            <a:endParaRPr lang="en-US"/>
          </a:p>
        </c:txPr>
        <c:crossAx val="137444672"/>
        <c:crosses val="autoZero"/>
        <c:auto val="1"/>
        <c:lblAlgn val="ctr"/>
        <c:lblOffset val="100"/>
        <c:noMultiLvlLbl val="0"/>
      </c:catAx>
      <c:valAx>
        <c:axId val="13744467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6616448"/>
        <c:crosses val="autoZero"/>
        <c:crossBetween val="between"/>
      </c:valAx>
      <c:spPr>
        <a:noFill/>
        <a:ln w="25400">
          <a:noFill/>
        </a:ln>
        <a:effectLst/>
      </c:spPr>
    </c:plotArea>
    <c:plotVisOnly val="1"/>
    <c:dispBlanksAs val="gap"/>
    <c:showDLblsOverMax val="0"/>
  </c:chart>
  <c:spPr>
    <a:solidFill>
      <a:srgbClr val="EDF2F9"/>
    </a:solidFill>
    <a:ln w="25400" cap="flat" cmpd="sng" algn="ctr">
      <a:solidFill>
        <a:schemeClr val="dk1"/>
      </a:solidFill>
      <a:prstDash val="solid"/>
      <a:roun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hyperlink" Target="http://www.energy.gov/sunsho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hyperlink" Target="http://www.energy.gov/sunshot"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590550</xdr:colOff>
      <xdr:row>0</xdr:row>
      <xdr:rowOff>28575</xdr:rowOff>
    </xdr:from>
    <xdr:to>
      <xdr:col>6</xdr:col>
      <xdr:colOff>331694</xdr:colOff>
      <xdr:row>5</xdr:row>
      <xdr:rowOff>23533</xdr:rowOff>
    </xdr:to>
    <xdr:pic>
      <xdr:nvPicPr>
        <xdr:cNvPr id="7" name="Picture 6" descr="https://upload.wikimedia.org/wikipedia/en/thumb/6/60/Seal_of_Cook_County,_Illinois.svg/600px-Seal_of_Cook_County,_Illinois.svg.png">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032" y="207869"/>
          <a:ext cx="996203" cy="963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409576</xdr:colOff>
      <xdr:row>0</xdr:row>
      <xdr:rowOff>133350</xdr:rowOff>
    </xdr:from>
    <xdr:to>
      <xdr:col>14</xdr:col>
      <xdr:colOff>581026</xdr:colOff>
      <xdr:row>4</xdr:row>
      <xdr:rowOff>33058</xdr:rowOff>
    </xdr:to>
    <xdr:pic>
      <xdr:nvPicPr>
        <xdr:cNvPr id="2" name="Picture 1" descr="C:\Documents and Settings\ckarlov\Local Settings\Temp\Temporary Directory 1 for LOGOS (2).zip\LOGOS\WestMonroePartners.log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2"/>
        <a:srcRect/>
        <a:stretch>
          <a:fillRect/>
        </a:stretch>
      </xdr:blipFill>
      <xdr:spPr bwMode="auto">
        <a:xfrm>
          <a:off x="5895976" y="323850"/>
          <a:ext cx="3219450" cy="733425"/>
        </a:xfrm>
        <a:prstGeom prst="rect">
          <a:avLst/>
        </a:prstGeom>
        <a:noFill/>
        <a:ln w="9525">
          <a:noFill/>
          <a:miter lim="800000"/>
          <a:headEnd/>
          <a:tailEnd/>
        </a:ln>
      </xdr:spPr>
    </xdr:pic>
    <xdr:clientData/>
  </xdr:twoCellAnchor>
  <xdr:twoCellAnchor editAs="oneCell">
    <xdr:from>
      <xdr:col>6</xdr:col>
      <xdr:colOff>590550</xdr:colOff>
      <xdr:row>0</xdr:row>
      <xdr:rowOff>0</xdr:rowOff>
    </xdr:from>
    <xdr:to>
      <xdr:col>9</xdr:col>
      <xdr:colOff>256819</xdr:colOff>
      <xdr:row>5</xdr:row>
      <xdr:rowOff>36042</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248150" y="173673"/>
          <a:ext cx="1495068" cy="1071465"/>
        </a:xfrm>
        <a:prstGeom prst="rect">
          <a:avLst/>
        </a:prstGeom>
      </xdr:spPr>
    </xdr:pic>
    <xdr:clientData/>
  </xdr:twoCellAnchor>
  <xdr:twoCellAnchor editAs="oneCell">
    <xdr:from>
      <xdr:col>0</xdr:col>
      <xdr:colOff>0</xdr:colOff>
      <xdr:row>0</xdr:row>
      <xdr:rowOff>0</xdr:rowOff>
    </xdr:from>
    <xdr:to>
      <xdr:col>4</xdr:col>
      <xdr:colOff>162486</xdr:colOff>
      <xdr:row>5</xdr:row>
      <xdr:rowOff>149448</xdr:rowOff>
    </xdr:to>
    <xdr:pic>
      <xdr:nvPicPr>
        <xdr:cNvPr id="5" name="Picture 4">
          <a:hlinkClick xmlns:r="http://schemas.openxmlformats.org/officeDocument/2006/relationships" r:id="rId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190499"/>
          <a:ext cx="2762250" cy="1188457"/>
        </a:xfrm>
        <a:prstGeom prst="rect">
          <a:avLst/>
        </a:prstGeom>
      </xdr:spPr>
    </xdr:pic>
    <xdr:clientData/>
  </xdr:twoCellAnchor>
  <xdr:twoCellAnchor>
    <xdr:from>
      <xdr:col>0</xdr:col>
      <xdr:colOff>62753</xdr:colOff>
      <xdr:row>9</xdr:row>
      <xdr:rowOff>80682</xdr:rowOff>
    </xdr:from>
    <xdr:to>
      <xdr:col>15</xdr:col>
      <xdr:colOff>806824</xdr:colOff>
      <xdr:row>43</xdr:row>
      <xdr:rowOff>17930</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62753" y="1891553"/>
          <a:ext cx="10318377" cy="6436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Overview:</a:t>
          </a:r>
        </a:p>
        <a:p>
          <a:r>
            <a:rPr lang="en-US" sz="1100">
              <a:solidFill>
                <a:schemeClr val="dk1"/>
              </a:solidFill>
              <a:effectLst/>
              <a:latin typeface="+mn-lt"/>
              <a:ea typeface="+mn-ea"/>
              <a:cs typeface="+mn-cs"/>
            </a:rPr>
            <a:t>The Community Solar Business Case Tool was developed as part of the Cook County Community Solar Project, with a grant from the Solar Market Pathways program  (Award Number DE-FOA-0001071) through the U.S. Department of Energy.  Development</a:t>
          </a:r>
          <a:r>
            <a:rPr lang="en-US" sz="1100" baseline="0">
              <a:solidFill>
                <a:schemeClr val="dk1"/>
              </a:solidFill>
              <a:effectLst/>
              <a:latin typeface="+mn-lt"/>
              <a:ea typeface="+mn-ea"/>
              <a:cs typeface="+mn-cs"/>
            </a:rPr>
            <a:t> of the tool was led by West Monroe Partners and Elevate Energy with support from the Cook County project team. </a:t>
          </a:r>
          <a:r>
            <a:rPr lang="en-US" sz="1100">
              <a:solidFill>
                <a:schemeClr val="dk1"/>
              </a:solidFill>
              <a:effectLst/>
              <a:latin typeface="+mn-lt"/>
              <a:ea typeface="+mn-ea"/>
              <a:cs typeface="+mn-cs"/>
            </a:rPr>
            <a:t>We are thankful for contributions from the National Renewables Energy Laboratory, the National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Community Solar Partnership, Solar Market Pathways partners and other regional and national </a:t>
          </a:r>
          <a:r>
            <a:rPr lang="en-US" sz="1100" baseline="0">
              <a:solidFill>
                <a:schemeClr val="dk1"/>
              </a:solidFill>
              <a:effectLst/>
              <a:latin typeface="+mn-lt"/>
              <a:ea typeface="+mn-ea"/>
              <a:cs typeface="+mn-cs"/>
            </a:rPr>
            <a:t>stakeholders.</a:t>
          </a:r>
        </a:p>
        <a:p>
          <a:endParaRPr lang="en-US">
            <a:effectLst/>
          </a:endParaRPr>
        </a:p>
        <a:p>
          <a:r>
            <a:rPr lang="en-US" sz="1100">
              <a:solidFill>
                <a:schemeClr val="dk1"/>
              </a:solidFill>
              <a:effectLst/>
              <a:latin typeface="+mn-lt"/>
              <a:ea typeface="+mn-ea"/>
              <a:cs typeface="+mn-cs"/>
            </a:rPr>
            <a:t>The Community Solar Business Case Tool provides a flexible financial model that projects the costs and benefits to the system developer and subscriber of a single community solar project. Detailed input options allow for flexible system design. While all inputs are pre-populated with industry averages, almost all inputs can be changed to reflect local conditions. In order to ensure accuracy and repeatability</a:t>
          </a:r>
          <a:r>
            <a:rPr lang="en-US" sz="1100" baseline="0">
              <a:solidFill>
                <a:schemeClr val="dk1"/>
              </a:solidFill>
              <a:effectLst/>
              <a:latin typeface="+mn-lt"/>
              <a:ea typeface="+mn-ea"/>
              <a:cs typeface="+mn-cs"/>
            </a:rPr>
            <a:t> of results, cells not intended to be changed have been locked. If users would like to make additional changes to the tool for their own purposes, please contact Emily or Vito (contact information below).</a:t>
          </a:r>
          <a:r>
            <a:rPr lang="en-US" sz="1100">
              <a:solidFill>
                <a:schemeClr val="dk1"/>
              </a:solidFill>
              <a:effectLst/>
              <a:latin typeface="+mn-lt"/>
              <a:ea typeface="+mn-ea"/>
              <a:cs typeface="+mn-cs"/>
            </a:rPr>
            <a:t> Users can use the “Reset” button to return to pre-populated values.</a:t>
          </a:r>
          <a:endParaRPr lang="en-US">
            <a:effectLst/>
          </a:endParaRPr>
        </a:p>
        <a:p>
          <a:endParaRPr lang="en-US" sz="1100"/>
        </a:p>
        <a:p>
          <a:r>
            <a:rPr lang="en-US" sz="1100" b="1"/>
            <a:t>Data Inputs:</a:t>
          </a:r>
        </a:p>
        <a:p>
          <a:r>
            <a:rPr lang="en-US" sz="1100"/>
            <a:t>• Values can be entered on the Key_Inputs_&amp;_Assumptions tab for many inputs related to project design, technical assumptions, utility rates, </a:t>
          </a:r>
          <a:r>
            <a:rPr lang="en-US" sz="1100" baseline="0"/>
            <a:t> program structure, </a:t>
          </a:r>
          <a:r>
            <a:rPr lang="en-US" sz="1100"/>
            <a:t>financing options, construction</a:t>
          </a:r>
          <a:r>
            <a:rPr lang="en-US" sz="1100" baseline="0"/>
            <a:t> </a:t>
          </a:r>
          <a:r>
            <a:rPr lang="en-US" sz="1100"/>
            <a:t>costs, site and O&amp;M costs, incentives and customer acquisition.</a:t>
          </a:r>
        </a:p>
        <a:p>
          <a:r>
            <a:rPr lang="en-US" sz="1100"/>
            <a:t>• Several individual toggles allow for switching between common inputs; i.e. panel purchase vs. panel leave, installation type, tax status and customer acquisition difficulty.</a:t>
          </a:r>
        </a:p>
        <a:p>
          <a:r>
            <a:rPr lang="en-US" sz="1100"/>
            <a:t>• Generation rates have been embedded using PV Watts for all mid- to large-sized U.S. cities.</a:t>
          </a:r>
        </a:p>
        <a:p>
          <a:r>
            <a:rPr lang="en-US" sz="1100"/>
            <a:t>• A separate worksheet includes inputs for a number of administrative and transactional cost components. These are found in the Admin_and_Transaction_Costs tab.</a:t>
          </a:r>
        </a:p>
        <a:p>
          <a:r>
            <a:rPr lang="en-US" sz="1100"/>
            <a:t>• All inputs have been pre-populated with industry averages.</a:t>
          </a:r>
        </a:p>
        <a:p>
          <a:r>
            <a:rPr lang="en-US" sz="1100"/>
            <a:t>• Blue and red values in the tab can be updated to better reflect the specifics of your project and region.</a:t>
          </a:r>
        </a:p>
        <a:p>
          <a:r>
            <a:rPr lang="en-US" sz="1100"/>
            <a:t>• Descriptions of inputs, value ranges and assumptions can been found for each input by hovering the cursor over default values.</a:t>
          </a:r>
        </a:p>
        <a:p>
          <a:endParaRPr lang="en-US" sz="1100"/>
        </a:p>
        <a:p>
          <a:r>
            <a:rPr lang="en-US" sz="1100" b="1"/>
            <a:t>Outputs:</a:t>
          </a:r>
        </a:p>
        <a:p>
          <a:r>
            <a:rPr lang="en-US" sz="1100"/>
            <a:t>The Dashboard was created to provide key metrics for the system owner and subscriber, including costs, benefits, NPV, ROI and payback period. Cash flow can also be found on this worksheet for both the system owner and subscriber. A separate developer cash flow for a traditional PPA is also included as a point of comparison for devlopers.</a:t>
          </a:r>
        </a:p>
        <a:p>
          <a:endParaRPr lang="en-US" sz="1100"/>
        </a:p>
        <a:p>
          <a:r>
            <a:rPr lang="en-US" sz="1100" b="1"/>
            <a:t>Instructions:</a:t>
          </a:r>
        </a:p>
        <a:p>
          <a:r>
            <a:rPr lang="en-US" sz="1100"/>
            <a:t>The Community Solar Business Case Tool has been developed using the panel purchase or panel lease price as a basis for project costs. A basic“breakeven” price for panel purchase or monthly panel lease value is given based on the</a:t>
          </a:r>
          <a:r>
            <a:rPr lang="en-US" sz="1100" baseline="0"/>
            <a:t> price of electricity over the course of the project</a:t>
          </a:r>
          <a:r>
            <a:rPr lang="en-US" sz="1100"/>
            <a:t>. </a:t>
          </a:r>
        </a:p>
        <a:p>
          <a:r>
            <a:rPr lang="en-US" sz="1100"/>
            <a:t>    1. Enter system parameters</a:t>
          </a:r>
        </a:p>
        <a:p>
          <a:r>
            <a:rPr lang="en-US" sz="1100"/>
            <a:t>    2. Enter panel purchase or monthly panel lease price at or better than the breakeven price. </a:t>
          </a:r>
        </a:p>
        <a:p>
          <a:r>
            <a:rPr lang="en-US" sz="1100"/>
            <a:t>    3. Enter city or town name to populate generation rates</a:t>
          </a:r>
        </a:p>
        <a:p>
          <a:r>
            <a:rPr lang="en-US" sz="1100"/>
            <a:t>    4. Modify inputs based on project and system design and local incentives.</a:t>
          </a:r>
        </a:p>
        <a:p>
          <a:r>
            <a:rPr lang="en-US" sz="1100"/>
            <a:t>    5. Click the “Calculate” button.</a:t>
          </a:r>
        </a:p>
        <a:p>
          <a:r>
            <a:rPr lang="en-US" sz="1100"/>
            <a:t>    6. Review the Dashboard outputs to analyze the model.</a:t>
          </a:r>
        </a:p>
        <a:p>
          <a:r>
            <a:rPr lang="en-US" sz="1100"/>
            <a:t>    7. Adjust panel purchase or monthly panel lease price based on key metrics, balancing Subscriber and Developer costs and benefits.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590550</xdr:colOff>
      <xdr:row>0</xdr:row>
      <xdr:rowOff>28575</xdr:rowOff>
    </xdr:from>
    <xdr:to>
      <xdr:col>6</xdr:col>
      <xdr:colOff>331694</xdr:colOff>
      <xdr:row>5</xdr:row>
      <xdr:rowOff>23533</xdr:rowOff>
    </xdr:to>
    <xdr:pic>
      <xdr:nvPicPr>
        <xdr:cNvPr id="2" name="Picture 1" descr="https://upload.wikimedia.org/wikipedia/en/thumb/6/60/Seal_of_Cook_County,_Illinois.svg/600px-Seal_of_Cook_County,_Illinois.svg.png">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1350" y="28575"/>
          <a:ext cx="960344" cy="1004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409576</xdr:colOff>
      <xdr:row>0</xdr:row>
      <xdr:rowOff>133350</xdr:rowOff>
    </xdr:from>
    <xdr:to>
      <xdr:col>14</xdr:col>
      <xdr:colOff>581026</xdr:colOff>
      <xdr:row>4</xdr:row>
      <xdr:rowOff>33058</xdr:rowOff>
    </xdr:to>
    <xdr:pic>
      <xdr:nvPicPr>
        <xdr:cNvPr id="3" name="Picture 2" descr="C:\Documents and Settings\ckarlov\Local Settings\Temp\Temporary Directory 1 for LOGOS (2).zip\LOGOS\WestMonroePartners.logo.jpg">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srcRect/>
        <a:stretch>
          <a:fillRect/>
        </a:stretch>
      </xdr:blipFill>
      <xdr:spPr bwMode="auto">
        <a:xfrm>
          <a:off x="6048376" y="133350"/>
          <a:ext cx="3219450" cy="718858"/>
        </a:xfrm>
        <a:prstGeom prst="rect">
          <a:avLst/>
        </a:prstGeom>
        <a:noFill/>
        <a:ln w="9525">
          <a:noFill/>
          <a:miter lim="800000"/>
          <a:headEnd/>
          <a:tailEnd/>
        </a:ln>
      </xdr:spPr>
    </xdr:pic>
    <xdr:clientData/>
  </xdr:twoCellAnchor>
  <xdr:twoCellAnchor editAs="oneCell">
    <xdr:from>
      <xdr:col>6</xdr:col>
      <xdr:colOff>590550</xdr:colOff>
      <xdr:row>0</xdr:row>
      <xdr:rowOff>0</xdr:rowOff>
    </xdr:from>
    <xdr:to>
      <xdr:col>9</xdr:col>
      <xdr:colOff>256819</xdr:colOff>
      <xdr:row>5</xdr:row>
      <xdr:rowOff>36042</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4400550" y="0"/>
          <a:ext cx="1495069" cy="1045692"/>
        </a:xfrm>
        <a:prstGeom prst="rect">
          <a:avLst/>
        </a:prstGeom>
      </xdr:spPr>
    </xdr:pic>
    <xdr:clientData/>
  </xdr:twoCellAnchor>
  <xdr:twoCellAnchor editAs="oneCell">
    <xdr:from>
      <xdr:col>0</xdr:col>
      <xdr:colOff>0</xdr:colOff>
      <xdr:row>0</xdr:row>
      <xdr:rowOff>0</xdr:rowOff>
    </xdr:from>
    <xdr:to>
      <xdr:col>4</xdr:col>
      <xdr:colOff>162486</xdr:colOff>
      <xdr:row>5</xdr:row>
      <xdr:rowOff>149448</xdr:rowOff>
    </xdr:to>
    <xdr:pic>
      <xdr:nvPicPr>
        <xdr:cNvPr id="5" name="Picture 4">
          <a:hlinkClick xmlns:r="http://schemas.openxmlformats.org/officeDocument/2006/relationships" r:id="rId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2753286" cy="1159098"/>
        </a:xfrm>
        <a:prstGeom prst="rect">
          <a:avLst/>
        </a:prstGeom>
      </xdr:spPr>
    </xdr:pic>
    <xdr:clientData/>
  </xdr:twoCellAnchor>
  <xdr:twoCellAnchor>
    <xdr:from>
      <xdr:col>0</xdr:col>
      <xdr:colOff>62753</xdr:colOff>
      <xdr:row>9</xdr:row>
      <xdr:rowOff>80682</xdr:rowOff>
    </xdr:from>
    <xdr:to>
      <xdr:col>15</xdr:col>
      <xdr:colOff>806824</xdr:colOff>
      <xdr:row>32</xdr:row>
      <xdr:rowOff>33618</xdr:rowOff>
    </xdr:to>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62753" y="1952064"/>
          <a:ext cx="9977718" cy="4558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Version 1.2 Updates:</a:t>
          </a:r>
          <a:endParaRPr lang="en-US" sz="1100">
            <a:solidFill>
              <a:schemeClr val="dk1"/>
            </a:solidFill>
            <a:effectLst/>
            <a:latin typeface="+mn-lt"/>
            <a:ea typeface="+mn-ea"/>
            <a:cs typeface="+mn-cs"/>
          </a:endParaRP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solidFill>
                <a:schemeClr val="dk1"/>
              </a:solidFill>
              <a:effectLst/>
              <a:latin typeface="+mn-lt"/>
              <a:ea typeface="+mn-ea"/>
              <a:cs typeface="+mn-cs"/>
            </a:rPr>
            <a:t>Default labor rate in cell J72 on Key_Assumptions_&amp;_Inputs tab set to $50; comment edited to indicate these rates include overhead.</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solidFill>
                <a:schemeClr val="dk1"/>
              </a:solidFill>
              <a:effectLst/>
              <a:latin typeface="+mn-lt"/>
              <a:ea typeface="+mn-ea"/>
              <a:cs typeface="+mn-cs"/>
            </a:rPr>
            <a:t>Default Annual Subscriber Retirement/Acquisition Rate (%) in cell E59 on Key_Assumptions_&amp;_Inputs tab set to 1.5%.</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solidFill>
                <a:schemeClr val="dk1"/>
              </a:solidFill>
              <a:effectLst/>
              <a:latin typeface="+mn-lt"/>
              <a:ea typeface="+mn-ea"/>
              <a:cs typeface="+mn-cs"/>
            </a:rPr>
            <a:t>ILLINOIS SPECIFIC: Default number of panels per subscriber at cell E21 on Key_Assumptions_&amp;_Inputs tab changed to 15 to reflect increased panel subscription because of energy-only net metering.</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solidFill>
                <a:schemeClr val="dk1"/>
              </a:solidFill>
              <a:effectLst/>
              <a:latin typeface="+mn-lt"/>
              <a:ea typeface="+mn-ea"/>
              <a:cs typeface="+mn-cs"/>
            </a:rPr>
            <a:t>Default “Minutes for admin setup per Subscriber” in cells AE118:120 and default “Minutes individual billing per Subscriber” in cells AM118:120 reduced in Admin_&amp;_Transaction_Costs tab.</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solidFill>
                <a:schemeClr val="dk1"/>
              </a:solidFill>
              <a:effectLst/>
              <a:latin typeface="+mn-lt"/>
              <a:ea typeface="+mn-ea"/>
              <a:cs typeface="+mn-cs"/>
            </a:rPr>
            <a:t>Default “% of Total Subscribers requiring service monthly” in cells AM111:113 reduced to 8%, 10% and 12% respectively in Admin_&amp;_Transaction_Costs tab.</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solidFill>
                <a:schemeClr val="dk1"/>
              </a:solidFill>
              <a:effectLst/>
              <a:latin typeface="+mn-lt"/>
              <a:ea typeface="+mn-ea"/>
              <a:cs typeface="+mn-cs"/>
            </a:rPr>
            <a:t>Bill Admin Annual Costs formula corrected in cells E120:AC10.</a:t>
          </a:r>
        </a:p>
        <a:p>
          <a:r>
            <a:rPr lang="en-US" sz="1100" b="1" baseline="0">
              <a:solidFill>
                <a:schemeClr val="dk1"/>
              </a:solidFill>
              <a:effectLst/>
              <a:latin typeface="+mn-lt"/>
              <a:ea typeface="+mn-ea"/>
              <a:cs typeface="+mn-cs"/>
            </a:rPr>
            <a:t>Illinois-Specific Updates</a:t>
          </a:r>
          <a:r>
            <a:rPr lang="en-US" sz="1100" b="1">
              <a:solidFill>
                <a:schemeClr val="dk1"/>
              </a:solidFill>
              <a:effectLst/>
              <a:latin typeface="+mn-lt"/>
              <a:ea typeface="+mn-ea"/>
              <a:cs typeface="+mn-cs"/>
            </a:rPr>
            <a:t>:</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mn-ea"/>
              <a:cs typeface="Times New Roman" panose="02020603050405020304" pitchFamily="18" charset="0"/>
            </a:rPr>
            <a:t>Default assumptions were modified to reflect provisions of the recently passed Future Energy Jobs Act.  These include:</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Default subscriber bill credit rates in cells D37 - D48 on Key_Assumptions_&amp;_Inputs updated to reflect the ComEd supply electricity rate, versus the reatil electrity rate.</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Default capacity rebate in cell J59 on Key_Assumptions_&amp;_Inputs tab set to $250/kW. </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Subscriber subsidy input added in cell </a:t>
          </a:r>
          <a:r>
            <a:rPr lang="en-US" sz="1100" b="0" i="0" baseline="0">
              <a:solidFill>
                <a:schemeClr val="dk1"/>
              </a:solidFill>
              <a:effectLst/>
              <a:latin typeface="+mn-lt"/>
              <a:ea typeface="+mn-ea"/>
              <a:cs typeface="+mn-cs"/>
            </a:rPr>
            <a:t>J61 on Key_Assumptions_&amp;_Inputs tab. This is intended to allower users to model the impacts of subscriber subsidies that may be offered to low income customers or  to all customers though programs and initiatives to encourage participation. The impact of the subsidy can be see in row 154 of the </a:t>
          </a:r>
          <a:r>
            <a:rPr lang="en-US" sz="1100" baseline="0">
              <a:solidFill>
                <a:schemeClr val="dk1"/>
              </a:solidFill>
              <a:effectLst/>
              <a:latin typeface="+mn-lt"/>
              <a:ea typeface="+mn-ea"/>
              <a:cs typeface="+mn-cs"/>
            </a:rPr>
            <a:t>Community_Solar_Business_Case tab  and column F on the Dashboard tab.</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Default SREC values in cell J62 on Key_Assumptions_&amp;_Inputs tab set to $45/REC.</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Default SREC lifetime </a:t>
          </a:r>
          <a:r>
            <a:rPr kumimoji="0" lang="en-US" sz="1100" b="0" i="0" u="none" strike="noStrike" kern="0" cap="none" spc="0" normalizeH="0" baseline="0" noProof="0">
              <a:ln>
                <a:noFill/>
              </a:ln>
              <a:solidFill>
                <a:prstClr val="black"/>
              </a:solidFill>
              <a:effectLst/>
              <a:uLnTx/>
              <a:uFillTx/>
              <a:latin typeface="+mn-lt"/>
              <a:ea typeface="+mn-ea"/>
              <a:cs typeface="+mn-cs"/>
            </a:rPr>
            <a:t>in cell J63 on Key_Assumptions_&amp;_Inputs tab set to 15 years.</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Default SREC payout schedule in cell J64 on Key_Assumptions_&amp;_Inputs tab set to 5 years.</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endParaRPr lang="en-US" sz="1100" b="1" baseline="0"/>
        </a:p>
        <a:p>
          <a:r>
            <a:rPr lang="en-US" sz="1100" b="1" baseline="0"/>
            <a:t>Version </a:t>
          </a:r>
          <a:r>
            <a:rPr lang="en-US" sz="1100" b="1"/>
            <a:t>1.1</a:t>
          </a:r>
          <a:r>
            <a:rPr lang="en-US" sz="1100" b="1" baseline="0"/>
            <a:t> Updates</a:t>
          </a:r>
          <a:r>
            <a:rPr lang="en-US" sz="1100" b="1"/>
            <a:t>:</a:t>
          </a:r>
        </a:p>
        <a:p>
          <a:pPr marL="800100" marR="0" lvl="1"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Default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business model in cell E11 on Key_Assumptions_&amp;_Inputs tab set to panel lease, versus panel purchase. Panel leasing models are generally more attractive to subscribers as it requires no initial capital outlay.</a:t>
          </a:r>
        </a:p>
        <a:p>
          <a:pPr marL="800100" marR="0" lvl="1"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baseline="0">
              <a:solidFill>
                <a:schemeClr val="dk1"/>
              </a:solidFill>
              <a:effectLst/>
              <a:latin typeface="+mn-lt"/>
              <a:ea typeface="+mn-ea"/>
              <a:cs typeface="+mn-cs"/>
            </a:rPr>
            <a:t>Default monthly panel lease price in cell E12 on Key_Assumptions_&amp;_Inputs tab was set so that the subscriber breaks even in Year 1, instead of over the course of the project.  Many programs are structured to ensure susbcribers realize a reasonable payback.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800100" marR="0" lvl="1" indent="-342900">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IRR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replaced by MIRR and ROI on Key_Assumptions_&amp;_Inputs tab Output Snapshot. IRR can be a misleading indicator of financial health when economics shift between positive and negative over a project lifetime, which may be seen with community solar projects.</a:t>
          </a:r>
        </a:p>
        <a:p>
          <a:pPr marL="800100" marR="0" lvl="1" indent="-342900">
            <a:spcBef>
              <a:spcPts val="0"/>
            </a:spcBef>
            <a:spcAft>
              <a:spcPts val="0"/>
            </a:spcAft>
            <a:buFont typeface="Symbol" panose="05050102010706020507" pitchFamily="18" charset="2"/>
            <a:buChar char=""/>
          </a:pPr>
          <a:r>
            <a:rPr lang="en-US" sz="1100" baseline="0">
              <a:effectLst/>
              <a:latin typeface="Calibri" panose="020F0502020204030204" pitchFamily="34" charset="0"/>
              <a:ea typeface="Calibri" panose="020F0502020204030204" pitchFamily="34" charset="0"/>
              <a:cs typeface="Times New Roman" panose="02020603050405020304" pitchFamily="18" charset="0"/>
            </a:rPr>
            <a:t>SREC schedule included to allow users to specify the number of years it is applicable and the timeframe over which it is paid (</a:t>
          </a:r>
          <a:r>
            <a:rPr lang="en-US" sz="1100" baseline="0">
              <a:solidFill>
                <a:schemeClr val="dk1"/>
              </a:solidFill>
              <a:effectLst/>
              <a:latin typeface="+mn-lt"/>
              <a:ea typeface="+mn-ea"/>
              <a:cs typeface="+mn-cs"/>
            </a:rPr>
            <a:t>Key_Assumptions_&amp;_Inputs tab cells 62 and 63) in addition to the SREC values. </a:t>
          </a:r>
        </a:p>
        <a:p>
          <a:pPr marL="800100" marR="0" lvl="1" indent="-342900">
            <a:spcBef>
              <a:spcPts val="0"/>
            </a:spcBef>
            <a:spcAft>
              <a:spcPts val="0"/>
            </a:spcAft>
            <a:buFont typeface="Symbol" panose="05050102010706020507" pitchFamily="18" charset="2"/>
            <a:buChar char=""/>
          </a:pPr>
          <a:r>
            <a:rPr lang="en-US" sz="1100" baseline="0">
              <a:solidFill>
                <a:schemeClr val="dk1"/>
              </a:solidFill>
              <a:effectLst/>
              <a:latin typeface="+mn-lt"/>
              <a:ea typeface="+mn-ea"/>
              <a:cs typeface="+mn-cs"/>
            </a:rPr>
            <a:t>Number of panels (cell E34 on Key_Assumptions_&amp;_Inputs tab) was updated to be a calculated value based on system size and size of panels, instead of a user-input.</a:t>
          </a:r>
          <a:endParaRPr lang="en-US" sz="1100" baseline="0">
            <a:solidFill>
              <a:schemeClr val="dk1"/>
            </a:solidFill>
            <a:effectLst/>
            <a:latin typeface="Calibri" panose="020F0502020204030204" pitchFamily="34" charset="0"/>
            <a:ea typeface="+mn-ea"/>
            <a:cs typeface="Times New Roman" panose="02020603050405020304" pitchFamily="18" charset="0"/>
          </a:endParaRPr>
        </a:p>
        <a:p>
          <a:pPr marL="800100" marR="0" lvl="1" indent="-342900">
            <a:spcBef>
              <a:spcPts val="0"/>
            </a:spcBef>
            <a:spcAft>
              <a:spcPts val="0"/>
            </a:spcAft>
            <a:buFont typeface="Symbol" panose="05050102010706020507" pitchFamily="18" charset="2"/>
            <a:buChar char=""/>
          </a:pPr>
          <a:r>
            <a:rPr lang="en-US" sz="1100" baseline="0">
              <a:solidFill>
                <a:schemeClr val="dk1"/>
              </a:solidFill>
              <a:effectLst/>
              <a:latin typeface="Calibri" panose="020F0502020204030204" pitchFamily="34" charset="0"/>
              <a:ea typeface="+mn-ea"/>
              <a:cs typeface="Times New Roman" panose="02020603050405020304" pitchFamily="18" charset="0"/>
            </a:rPr>
            <a:t>System owner 25-year costs cell in cell E64 of the Community_Solar_Business_Case tab were double-counting the costs of land (Comm</a:t>
          </a:r>
          <a:r>
            <a:rPr lang="en-US" sz="1100" baseline="0">
              <a:solidFill>
                <a:schemeClr val="dk1"/>
              </a:solidFill>
              <a:effectLst/>
              <a:latin typeface="+mn-lt"/>
              <a:ea typeface="+mn-ea"/>
              <a:cs typeface="+mn-cs"/>
            </a:rPr>
            <a:t>munity_Solar_Business_Case </a:t>
          </a:r>
          <a:r>
            <a:rPr lang="en-US" sz="1100" baseline="0">
              <a:solidFill>
                <a:schemeClr val="dk1"/>
              </a:solidFill>
              <a:effectLst/>
              <a:latin typeface="Calibri" panose="020F0502020204030204" pitchFamily="34" charset="0"/>
              <a:ea typeface="+mn-ea"/>
              <a:cs typeface="Times New Roman" panose="02020603050405020304" pitchFamily="18" charset="0"/>
            </a:rPr>
            <a:t>tab row 22) in Version 1.0. The calculation has been corrected.</a:t>
          </a:r>
        </a:p>
        <a:p>
          <a:pPr marL="800100" marR="0" lvl="1" indent="-342900">
            <a:spcBef>
              <a:spcPts val="0"/>
            </a:spcBef>
            <a:spcAft>
              <a:spcPts val="0"/>
            </a:spcAft>
            <a:buFont typeface="Symbol" panose="05050102010706020507" pitchFamily="18" charset="2"/>
            <a:buChar char=""/>
          </a:pPr>
          <a:r>
            <a:rPr lang="en-US" sz="1100" baseline="0">
              <a:solidFill>
                <a:schemeClr val="dk1"/>
              </a:solidFill>
              <a:effectLst/>
              <a:latin typeface="Calibri" panose="020F0502020204030204" pitchFamily="34" charset="0"/>
              <a:ea typeface="+mn-ea"/>
              <a:cs typeface="Times New Roman" panose="02020603050405020304" pitchFamily="18" charset="0"/>
            </a:rPr>
            <a:t>Subscriber 25-year costs in cell 131 of the </a:t>
          </a:r>
          <a:r>
            <a:rPr lang="en-US" sz="1100" baseline="0">
              <a:solidFill>
                <a:schemeClr val="dk1"/>
              </a:solidFill>
              <a:effectLst/>
              <a:latin typeface="+mn-lt"/>
              <a:ea typeface="+mn-ea"/>
              <a:cs typeface="+mn-cs"/>
            </a:rPr>
            <a:t>Community_Solar_Business_Case did not include subscriber financial costs in Version 1.0. The calculation has been corrected.</a:t>
          </a:r>
        </a:p>
        <a:p>
          <a:pPr marL="800100" marR="0" lvl="1" indent="-342900">
            <a:spcBef>
              <a:spcPts val="0"/>
            </a:spcBef>
            <a:spcAft>
              <a:spcPts val="0"/>
            </a:spcAft>
            <a:buFont typeface="Symbol" panose="05050102010706020507" pitchFamily="18" charset="2"/>
            <a:buChar char=""/>
          </a:pPr>
          <a:r>
            <a:rPr lang="en-US" sz="1100" baseline="0">
              <a:solidFill>
                <a:schemeClr val="dk1"/>
              </a:solidFill>
              <a:effectLst/>
              <a:latin typeface="+mn-lt"/>
              <a:ea typeface="+mn-ea"/>
              <a:cs typeface="+mn-cs"/>
            </a:rPr>
            <a:t>Unsubscribed electricity benefits were included in the PPA developer scenario in Version 1.0 (Commmunity_Solar_Business_Case tab row 85), but there will be no unsubscribed electricity in a PPA model. This calculation has been corrected.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253102</xdr:colOff>
      <xdr:row>21</xdr:row>
      <xdr:rowOff>93667</xdr:rowOff>
    </xdr:from>
    <xdr:to>
      <xdr:col>2</xdr:col>
      <xdr:colOff>1913814</xdr:colOff>
      <xdr:row>36</xdr:row>
      <xdr:rowOff>41712</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101093</xdr:colOff>
      <xdr:row>21</xdr:row>
      <xdr:rowOff>90445</xdr:rowOff>
    </xdr:from>
    <xdr:to>
      <xdr:col>5</xdr:col>
      <xdr:colOff>113499</xdr:colOff>
      <xdr:row>36</xdr:row>
      <xdr:rowOff>38490</xdr:rowOff>
    </xdr:to>
    <xdr:graphicFrame macro="">
      <xdr:nvGraphicFramePr>
        <xdr:cNvPr id="4" name="Chart 3">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314565</xdr:colOff>
      <xdr:row>21</xdr:row>
      <xdr:rowOff>95248</xdr:rowOff>
    </xdr:from>
    <xdr:to>
      <xdr:col>7</xdr:col>
      <xdr:colOff>489859</xdr:colOff>
      <xdr:row>35</xdr:row>
      <xdr:rowOff>161540</xdr:rowOff>
    </xdr:to>
    <xdr:graphicFrame macro="">
      <xdr:nvGraphicFramePr>
        <xdr:cNvPr id="6" name="Chart 5">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625929</xdr:colOff>
      <xdr:row>21</xdr:row>
      <xdr:rowOff>81643</xdr:rowOff>
    </xdr:from>
    <xdr:to>
      <xdr:col>12</xdr:col>
      <xdr:colOff>515473</xdr:colOff>
      <xdr:row>35</xdr:row>
      <xdr:rowOff>147935</xdr:rowOff>
    </xdr:to>
    <xdr:graphicFrame macro="">
      <xdr:nvGraphicFramePr>
        <xdr:cNvPr id="5" name="Chart 4">
          <a:extLst>
            <a:ext uri="{FF2B5EF4-FFF2-40B4-BE49-F238E27FC236}">
              <a16:creationId xmlns=""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ub.org\UserData\MyDocs\bgm06419\AMI\Business%20Cases\KUB_AMI_Systemwide_Projection%20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net.westmonroepartners.com/documentlibraries/clientsandprospects/National%20Grid/Business%20Case%20Analysis%20RFP/National%20Grid%20Business%20Case%20Tool/NGRID%20BC%20Tool%20Template%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7 Year Plan"/>
      <sheetName val="Calculations"/>
      <sheetName val="Pricing"/>
      <sheetName val="MeterPivot"/>
      <sheetName val="DA Details"/>
      <sheetName val="Lookups"/>
      <sheetName val="FieldActivities"/>
      <sheetName val="Meters (not in UT)"/>
    </sheetNames>
    <sheetDataSet>
      <sheetData sheetId="0">
        <row r="3">
          <cell r="C3" t="b">
            <v>0</v>
          </cell>
          <cell r="I3">
            <v>1</v>
          </cell>
          <cell r="L3">
            <v>1</v>
          </cell>
        </row>
        <row r="4">
          <cell r="C4" t="b">
            <v>0</v>
          </cell>
          <cell r="I4">
            <v>19</v>
          </cell>
        </row>
        <row r="5">
          <cell r="C5" t="b">
            <v>0</v>
          </cell>
          <cell r="I5">
            <v>0.5</v>
          </cell>
        </row>
        <row r="6">
          <cell r="C6" t="b">
            <v>0</v>
          </cell>
          <cell r="I6">
            <v>0.5</v>
          </cell>
        </row>
        <row r="7">
          <cell r="C7" t="b">
            <v>0</v>
          </cell>
          <cell r="I7">
            <v>750</v>
          </cell>
        </row>
        <row r="8">
          <cell r="C8" t="b">
            <v>0</v>
          </cell>
          <cell r="I8">
            <v>0</v>
          </cell>
        </row>
        <row r="9">
          <cell r="D9">
            <v>72000</v>
          </cell>
          <cell r="I9">
            <v>6000000</v>
          </cell>
        </row>
      </sheetData>
      <sheetData sheetId="1" refreshError="1"/>
      <sheetData sheetId="2">
        <row r="74">
          <cell r="C74">
            <v>379179</v>
          </cell>
        </row>
      </sheetData>
      <sheetData sheetId="3">
        <row r="19">
          <cell r="A19" t="str">
            <v>Res. Electric Meter Exchanges</v>
          </cell>
          <cell r="B19">
            <v>4</v>
          </cell>
          <cell r="C19">
            <v>1</v>
          </cell>
          <cell r="D19">
            <v>13.73</v>
          </cell>
          <cell r="E19">
            <v>10.817307692307692</v>
          </cell>
        </row>
        <row r="20">
          <cell r="A20" t="str">
            <v>C&amp;I Electric Meter Exchanges</v>
          </cell>
          <cell r="B20">
            <v>1</v>
          </cell>
          <cell r="C20">
            <v>2</v>
          </cell>
          <cell r="D20">
            <v>86.538461538461533</v>
          </cell>
          <cell r="E20">
            <v>86.538461538461533</v>
          </cell>
        </row>
        <row r="21">
          <cell r="A21" t="str">
            <v>Gas Module Installations</v>
          </cell>
          <cell r="B21">
            <v>4</v>
          </cell>
          <cell r="C21">
            <v>1</v>
          </cell>
          <cell r="D21">
            <v>15.48</v>
          </cell>
          <cell r="E21">
            <v>10.817307692307692</v>
          </cell>
        </row>
        <row r="22">
          <cell r="A22" t="str">
            <v>Res. Gas Meter Exchanges</v>
          </cell>
          <cell r="B22">
            <v>1</v>
          </cell>
          <cell r="C22">
            <v>1</v>
          </cell>
          <cell r="D22">
            <v>43.269230769230766</v>
          </cell>
          <cell r="E22">
            <v>43.269230769230766</v>
          </cell>
        </row>
        <row r="23">
          <cell r="A23" t="str">
            <v>C&amp;I Gas Meter Exchanges</v>
          </cell>
          <cell r="B23">
            <v>1</v>
          </cell>
          <cell r="C23">
            <v>2</v>
          </cell>
          <cell r="D23">
            <v>86.538461538461533</v>
          </cell>
          <cell r="E23">
            <v>86.538461538461533</v>
          </cell>
        </row>
        <row r="24">
          <cell r="A24" t="str">
            <v>Water Module Installations</v>
          </cell>
          <cell r="B24">
            <v>2</v>
          </cell>
          <cell r="C24">
            <v>1</v>
          </cell>
          <cell r="D24">
            <v>21.66</v>
          </cell>
          <cell r="E24">
            <v>21.634615384615383</v>
          </cell>
        </row>
        <row r="25">
          <cell r="A25" t="str">
            <v>Res. Water Meter Exchanges</v>
          </cell>
          <cell r="B25">
            <v>2</v>
          </cell>
          <cell r="C25">
            <v>1</v>
          </cell>
          <cell r="D25">
            <v>36.090000000000003</v>
          </cell>
          <cell r="E25">
            <v>21.634615384615383</v>
          </cell>
        </row>
        <row r="26">
          <cell r="A26" t="str">
            <v>Large Water Meter Exchanges</v>
          </cell>
          <cell r="B26">
            <v>1</v>
          </cell>
          <cell r="C26">
            <v>2</v>
          </cell>
          <cell r="D26">
            <v>86.538461538461533</v>
          </cell>
          <cell r="E26">
            <v>86.538461538461533</v>
          </cell>
        </row>
      </sheetData>
      <sheetData sheetId="4">
        <row r="4">
          <cell r="A4" t="str">
            <v>12S</v>
          </cell>
          <cell r="B4">
            <v>3583</v>
          </cell>
          <cell r="E4" t="str">
            <v>Bracket/Index?</v>
          </cell>
          <cell r="F4">
            <v>2599</v>
          </cell>
          <cell r="I4" t="str">
            <v>ABB</v>
          </cell>
          <cell r="J4">
            <v>36295</v>
          </cell>
        </row>
        <row r="5">
          <cell r="A5" t="str">
            <v>1S</v>
          </cell>
          <cell r="B5">
            <v>1964</v>
          </cell>
          <cell r="E5" t="str">
            <v>EleExg</v>
          </cell>
          <cell r="F5">
            <v>196523</v>
          </cell>
          <cell r="I5" t="str">
            <v>AMERICAN</v>
          </cell>
          <cell r="J5">
            <v>49458</v>
          </cell>
        </row>
        <row r="6">
          <cell r="A6" t="str">
            <v>2S</v>
          </cell>
          <cell r="B6">
            <v>178479</v>
          </cell>
          <cell r="E6" t="str">
            <v>GasExg</v>
          </cell>
          <cell r="F6">
            <v>3734</v>
          </cell>
          <cell r="I6" t="str">
            <v>AQRDMTR</v>
          </cell>
          <cell r="J6">
            <v>11</v>
          </cell>
        </row>
        <row r="7">
          <cell r="A7" t="str">
            <v>2S/320A</v>
          </cell>
          <cell r="B7">
            <v>4112</v>
          </cell>
          <cell r="E7" t="str">
            <v>LgGasExg</v>
          </cell>
          <cell r="F7">
            <v>443</v>
          </cell>
          <cell r="I7" t="str">
            <v>ARKLA</v>
          </cell>
          <cell r="J7">
            <v>6</v>
          </cell>
        </row>
        <row r="8">
          <cell r="A8" t="str">
            <v>ElsterA3</v>
          </cell>
          <cell r="B8">
            <v>8385</v>
          </cell>
          <cell r="E8" t="str">
            <v>LgWaterExg</v>
          </cell>
          <cell r="F8">
            <v>136</v>
          </cell>
          <cell r="I8" t="str">
            <v>BADGER</v>
          </cell>
          <cell r="J8">
            <v>7885</v>
          </cell>
        </row>
        <row r="9">
          <cell r="A9" t="str">
            <v>Gas C&amp;I</v>
          </cell>
          <cell r="B9">
            <v>41</v>
          </cell>
          <cell r="E9" t="str">
            <v>None</v>
          </cell>
          <cell r="F9">
            <v>90863</v>
          </cell>
          <cell r="I9" t="str">
            <v>CUSTOWN</v>
          </cell>
          <cell r="J9">
            <v>4</v>
          </cell>
        </row>
        <row r="10">
          <cell r="A10" t="str">
            <v>GasRes</v>
          </cell>
          <cell r="B10">
            <v>97598</v>
          </cell>
          <cell r="E10" t="str">
            <v>WaterExg</v>
          </cell>
          <cell r="F10">
            <v>14701</v>
          </cell>
          <cell r="I10" t="str">
            <v>DF</v>
          </cell>
          <cell r="J10">
            <v>1</v>
          </cell>
        </row>
        <row r="11">
          <cell r="A11" t="str">
            <v>UNK</v>
          </cell>
          <cell r="B11">
            <v>4201</v>
          </cell>
          <cell r="E11" t="str">
            <v>WaterLgReg</v>
          </cell>
          <cell r="F11">
            <v>966</v>
          </cell>
          <cell r="I11" t="str">
            <v>DUN/LAND</v>
          </cell>
          <cell r="J11">
            <v>46308</v>
          </cell>
        </row>
        <row r="12">
          <cell r="A12" t="str">
            <v>WaterDual</v>
          </cell>
          <cell r="B12">
            <v>504</v>
          </cell>
          <cell r="E12" t="str">
            <v>WaterReg</v>
          </cell>
          <cell r="F12">
            <v>69208</v>
          </cell>
          <cell r="I12" t="str">
            <v>ELSTER</v>
          </cell>
          <cell r="J12">
            <v>30365</v>
          </cell>
        </row>
        <row r="13">
          <cell r="A13" t="str">
            <v>WaterSingle</v>
          </cell>
          <cell r="B13">
            <v>80312</v>
          </cell>
          <cell r="I13" t="str">
            <v>EMCO</v>
          </cell>
          <cell r="J13">
            <v>16575</v>
          </cell>
        </row>
        <row r="14">
          <cell r="I14" t="str">
            <v>ERMC</v>
          </cell>
          <cell r="J14">
            <v>37</v>
          </cell>
        </row>
        <row r="15">
          <cell r="I15" t="str">
            <v>FU</v>
          </cell>
          <cell r="J15">
            <v>2</v>
          </cell>
        </row>
        <row r="16">
          <cell r="I16" t="str">
            <v>FUD</v>
          </cell>
          <cell r="J16">
            <v>11</v>
          </cell>
        </row>
        <row r="17">
          <cell r="I17" t="str">
            <v>GE</v>
          </cell>
          <cell r="J17">
            <v>52996</v>
          </cell>
        </row>
        <row r="18">
          <cell r="I18" t="str">
            <v>HERSEY</v>
          </cell>
          <cell r="J18">
            <v>2</v>
          </cell>
        </row>
        <row r="19">
          <cell r="I19" t="str">
            <v>HPUD</v>
          </cell>
          <cell r="J19">
            <v>61</v>
          </cell>
        </row>
        <row r="20">
          <cell r="I20" t="str">
            <v>ITRON</v>
          </cell>
          <cell r="J20">
            <v>4482</v>
          </cell>
        </row>
        <row r="21">
          <cell r="I21" t="str">
            <v>KENT</v>
          </cell>
          <cell r="J21">
            <v>8</v>
          </cell>
        </row>
        <row r="22">
          <cell r="I22" t="str">
            <v>LANDIS</v>
          </cell>
          <cell r="J22">
            <v>833</v>
          </cell>
        </row>
        <row r="23">
          <cell r="I23" t="str">
            <v>LD</v>
          </cell>
          <cell r="J23">
            <v>1</v>
          </cell>
        </row>
        <row r="24">
          <cell r="I24" t="str">
            <v>LS</v>
          </cell>
          <cell r="J24">
            <v>1</v>
          </cell>
        </row>
        <row r="25">
          <cell r="I25" t="str">
            <v>NEKUD</v>
          </cell>
          <cell r="J25">
            <v>2353</v>
          </cell>
        </row>
        <row r="26">
          <cell r="I26" t="str">
            <v>NEPTUNE</v>
          </cell>
          <cell r="J26">
            <v>38966</v>
          </cell>
        </row>
        <row r="27">
          <cell r="I27" t="str">
            <v>NOTKUB</v>
          </cell>
          <cell r="J27">
            <v>2</v>
          </cell>
        </row>
        <row r="28">
          <cell r="I28" t="str">
            <v>ROCKWELL</v>
          </cell>
          <cell r="J28">
            <v>100</v>
          </cell>
        </row>
        <row r="29">
          <cell r="I29" t="str">
            <v>ROOTS</v>
          </cell>
          <cell r="J29">
            <v>2599</v>
          </cell>
        </row>
        <row r="30">
          <cell r="I30" t="str">
            <v>SANGAMO</v>
          </cell>
          <cell r="J30">
            <v>12223</v>
          </cell>
        </row>
        <row r="31">
          <cell r="I31" t="str">
            <v>SCHLUM</v>
          </cell>
          <cell r="J31">
            <v>52</v>
          </cell>
        </row>
        <row r="32">
          <cell r="I32" t="str">
            <v>SCI COL</v>
          </cell>
          <cell r="J32">
            <v>98</v>
          </cell>
        </row>
        <row r="33">
          <cell r="I33" t="str">
            <v>SCNDRYWW</v>
          </cell>
          <cell r="J33">
            <v>1662</v>
          </cell>
        </row>
        <row r="34">
          <cell r="I34" t="str">
            <v>SENSUS</v>
          </cell>
          <cell r="J34">
            <v>55</v>
          </cell>
        </row>
        <row r="35">
          <cell r="I35" t="str">
            <v>SH</v>
          </cell>
          <cell r="J35">
            <v>1</v>
          </cell>
        </row>
        <row r="36">
          <cell r="I36" t="str">
            <v>SIEMENS</v>
          </cell>
          <cell r="J36">
            <v>679</v>
          </cell>
        </row>
        <row r="37">
          <cell r="I37" t="str">
            <v>SL</v>
          </cell>
          <cell r="J37">
            <v>11</v>
          </cell>
        </row>
        <row r="38">
          <cell r="I38" t="str">
            <v>SPRAGUE</v>
          </cell>
          <cell r="J38">
            <v>28959</v>
          </cell>
        </row>
        <row r="39">
          <cell r="I39" t="str">
            <v>SUPERIOR</v>
          </cell>
          <cell r="J39">
            <v>41</v>
          </cell>
        </row>
        <row r="40">
          <cell r="I40" t="str">
            <v>TRIDENT</v>
          </cell>
          <cell r="J40">
            <v>33838</v>
          </cell>
        </row>
        <row r="41">
          <cell r="I41" t="str">
            <v>UNKNOWN</v>
          </cell>
          <cell r="J41">
            <v>117</v>
          </cell>
        </row>
        <row r="42">
          <cell r="I42" t="str">
            <v>VIRTUAL</v>
          </cell>
          <cell r="J42">
            <v>50</v>
          </cell>
        </row>
        <row r="43">
          <cell r="I43" t="str">
            <v>WESTIN</v>
          </cell>
          <cell r="J43">
            <v>12034</v>
          </cell>
        </row>
        <row r="44">
          <cell r="I44" t="str">
            <v>WJ</v>
          </cell>
          <cell r="J44">
            <v>1</v>
          </cell>
        </row>
      </sheetData>
      <sheetData sheetId="5" refreshError="1"/>
      <sheetData sheetId="6">
        <row r="2">
          <cell r="A2" t="str">
            <v>1000</v>
          </cell>
          <cell r="B2" t="str">
            <v>GasRes</v>
          </cell>
          <cell r="C2" t="str">
            <v>None</v>
          </cell>
          <cell r="E2" t="str">
            <v>10"FRLN</v>
          </cell>
          <cell r="F2" t="str">
            <v>WaterDual</v>
          </cell>
          <cell r="G2" t="str">
            <v>WaterLgReg</v>
          </cell>
        </row>
        <row r="3">
          <cell r="A3" t="str">
            <v>4</v>
          </cell>
          <cell r="B3" t="str">
            <v>GasRes</v>
          </cell>
          <cell r="C3" t="str">
            <v>GasExg</v>
          </cell>
          <cell r="E3" t="str">
            <v>2" TEMP</v>
          </cell>
          <cell r="F3" t="str">
            <v>WaterSingle</v>
          </cell>
          <cell r="G3" t="str">
            <v>WaterLgReg</v>
          </cell>
        </row>
        <row r="4">
          <cell r="A4" t="str">
            <v>175</v>
          </cell>
          <cell r="B4" t="str">
            <v>GasRes</v>
          </cell>
          <cell r="C4" t="str">
            <v>GasExg</v>
          </cell>
          <cell r="E4" t="str">
            <v>6"FRLN</v>
          </cell>
          <cell r="F4" t="str">
            <v>WaterDual</v>
          </cell>
          <cell r="G4" t="str">
            <v>WaterLgReg</v>
          </cell>
        </row>
        <row r="5">
          <cell r="A5" t="str">
            <v>200</v>
          </cell>
          <cell r="B5" t="str">
            <v>GasRes</v>
          </cell>
          <cell r="C5" t="str">
            <v>GasExg</v>
          </cell>
          <cell r="E5" t="str">
            <v>8"FRLN</v>
          </cell>
          <cell r="F5" t="str">
            <v>WaterDual</v>
          </cell>
          <cell r="G5" t="str">
            <v>WaterLgReg</v>
          </cell>
        </row>
        <row r="6">
          <cell r="A6" t="str">
            <v>250</v>
          </cell>
          <cell r="B6" t="str">
            <v>GasRes</v>
          </cell>
          <cell r="C6" t="str">
            <v>None</v>
          </cell>
          <cell r="E6" t="str">
            <v>COMP 3"</v>
          </cell>
          <cell r="F6" t="str">
            <v>WaterDual</v>
          </cell>
          <cell r="G6" t="str">
            <v>WaterLgReg</v>
          </cell>
        </row>
        <row r="7">
          <cell r="A7" t="str">
            <v>275</v>
          </cell>
          <cell r="B7" t="str">
            <v>GasRes</v>
          </cell>
          <cell r="C7" t="str">
            <v>None</v>
          </cell>
          <cell r="E7" t="str">
            <v>COMP 4"</v>
          </cell>
          <cell r="F7" t="str">
            <v>WaterDual</v>
          </cell>
          <cell r="G7" t="str">
            <v>WaterLgReg</v>
          </cell>
        </row>
        <row r="8">
          <cell r="A8" t="str">
            <v>340</v>
          </cell>
          <cell r="B8" t="str">
            <v>GasRes</v>
          </cell>
          <cell r="C8" t="str">
            <v>None</v>
          </cell>
          <cell r="E8" t="str">
            <v>COMP 6"</v>
          </cell>
          <cell r="F8" t="str">
            <v>WaterDual</v>
          </cell>
          <cell r="G8" t="str">
            <v>WaterLgReg</v>
          </cell>
        </row>
        <row r="9">
          <cell r="A9" t="str">
            <v>425</v>
          </cell>
          <cell r="B9" t="str">
            <v>GasRes</v>
          </cell>
          <cell r="C9" t="str">
            <v>None</v>
          </cell>
          <cell r="E9" t="str">
            <v>SMP 1"</v>
          </cell>
          <cell r="F9" t="str">
            <v>WaterSingle</v>
          </cell>
          <cell r="G9" t="str">
            <v>WaterExg</v>
          </cell>
        </row>
        <row r="10">
          <cell r="A10" t="str">
            <v>11C</v>
          </cell>
          <cell r="B10" t="str">
            <v>GasRes</v>
          </cell>
          <cell r="C10" t="str">
            <v>Bracket/Index?</v>
          </cell>
          <cell r="E10" t="str">
            <v>SMP 10"</v>
          </cell>
          <cell r="F10" t="str">
            <v>WaterSingle</v>
          </cell>
          <cell r="G10" t="str">
            <v>WaterLgReg</v>
          </cell>
        </row>
        <row r="11">
          <cell r="A11" t="str">
            <v>11M</v>
          </cell>
          <cell r="B11" t="str">
            <v>GasRes</v>
          </cell>
          <cell r="C11" t="str">
            <v>Bracket/Index?</v>
          </cell>
          <cell r="E11" t="str">
            <v>SMP 2"</v>
          </cell>
          <cell r="F11" t="str">
            <v>WaterSingle</v>
          </cell>
          <cell r="G11" t="str">
            <v>WaterLgReg</v>
          </cell>
        </row>
        <row r="12">
          <cell r="A12" t="str">
            <v>16M</v>
          </cell>
          <cell r="B12" t="str">
            <v>GasRes</v>
          </cell>
          <cell r="C12" t="str">
            <v>Bracket/Index?</v>
          </cell>
          <cell r="E12" t="str">
            <v>SMP 3"</v>
          </cell>
          <cell r="F12" t="str">
            <v>WaterSingle</v>
          </cell>
          <cell r="G12" t="str">
            <v>WaterLgReg</v>
          </cell>
        </row>
        <row r="13">
          <cell r="A13" t="str">
            <v>1A</v>
          </cell>
          <cell r="B13" t="str">
            <v>GasRes</v>
          </cell>
          <cell r="C13" t="str">
            <v>GasExg</v>
          </cell>
          <cell r="E13" t="str">
            <v>SMP 4"</v>
          </cell>
          <cell r="F13" t="str">
            <v>WaterSingle</v>
          </cell>
          <cell r="G13" t="str">
            <v>WaterLgReg</v>
          </cell>
        </row>
        <row r="14">
          <cell r="A14" t="str">
            <v>23M</v>
          </cell>
          <cell r="B14" t="str">
            <v>GasRes</v>
          </cell>
          <cell r="C14" t="str">
            <v>Bracket/Index?</v>
          </cell>
          <cell r="E14" t="str">
            <v>SMP 5/8"</v>
          </cell>
          <cell r="F14" t="str">
            <v>WaterSingle</v>
          </cell>
          <cell r="G14" t="str">
            <v>WaterExg</v>
          </cell>
        </row>
        <row r="15">
          <cell r="A15" t="str">
            <v>2A</v>
          </cell>
          <cell r="B15" t="str">
            <v>GasRes</v>
          </cell>
          <cell r="C15" t="str">
            <v>GasExg</v>
          </cell>
          <cell r="E15" t="str">
            <v>SMP 6"</v>
          </cell>
          <cell r="F15" t="str">
            <v>WaterSingle</v>
          </cell>
          <cell r="G15" t="str">
            <v>WaterLgReg</v>
          </cell>
        </row>
        <row r="16">
          <cell r="A16" t="str">
            <v>2M</v>
          </cell>
          <cell r="B16" t="str">
            <v>GasRes</v>
          </cell>
          <cell r="C16" t="str">
            <v>Bracket/Index?</v>
          </cell>
          <cell r="E16" t="str">
            <v>SMP1 1/2</v>
          </cell>
          <cell r="F16" t="str">
            <v>WaterSingle</v>
          </cell>
          <cell r="G16" t="str">
            <v>WaterLgReg</v>
          </cell>
        </row>
        <row r="17">
          <cell r="A17" t="str">
            <v>3A</v>
          </cell>
          <cell r="B17" t="str">
            <v>GasRes</v>
          </cell>
          <cell r="C17" t="str">
            <v>GasExg</v>
          </cell>
          <cell r="E17" t="str">
            <v>TEMP</v>
          </cell>
          <cell r="F17" t="str">
            <v>WaterSingle</v>
          </cell>
          <cell r="G17" t="str">
            <v>WaterLgReg</v>
          </cell>
        </row>
        <row r="18">
          <cell r="A18" t="str">
            <v>3M</v>
          </cell>
          <cell r="B18" t="str">
            <v>GasRes</v>
          </cell>
          <cell r="C18" t="str">
            <v>Bracket/Index?</v>
          </cell>
          <cell r="E18" t="str">
            <v>VIRTUAL</v>
          </cell>
          <cell r="F18" t="str">
            <v>WaterSingle</v>
          </cell>
          <cell r="G18" t="str">
            <v>WaterLgReg</v>
          </cell>
        </row>
        <row r="19">
          <cell r="A19" t="str">
            <v>400A</v>
          </cell>
          <cell r="B19" t="str">
            <v>GasRes</v>
          </cell>
          <cell r="C19" t="str">
            <v>None</v>
          </cell>
        </row>
        <row r="20">
          <cell r="A20" t="str">
            <v>4A</v>
          </cell>
          <cell r="B20" t="str">
            <v>GasRes</v>
          </cell>
          <cell r="C20" t="str">
            <v>LgGasExg</v>
          </cell>
        </row>
        <row r="21">
          <cell r="A21" t="str">
            <v>5A</v>
          </cell>
          <cell r="B21" t="str">
            <v>GasRes</v>
          </cell>
          <cell r="C21" t="str">
            <v>LgGasExg</v>
          </cell>
        </row>
        <row r="22">
          <cell r="A22" t="str">
            <v>5M</v>
          </cell>
          <cell r="B22" t="str">
            <v>GasRes</v>
          </cell>
          <cell r="C22" t="str">
            <v>Bracket/Index?</v>
          </cell>
        </row>
        <row r="23">
          <cell r="A23" t="str">
            <v>7M</v>
          </cell>
          <cell r="B23" t="str">
            <v>GasRes</v>
          </cell>
          <cell r="C23" t="str">
            <v>Bracket/Index?</v>
          </cell>
        </row>
        <row r="24">
          <cell r="A24" t="str">
            <v>8C</v>
          </cell>
          <cell r="B24" t="str">
            <v>GasRes</v>
          </cell>
          <cell r="C24" t="str">
            <v>Bracket/Index?</v>
          </cell>
        </row>
        <row r="25">
          <cell r="A25" t="str">
            <v>SL250</v>
          </cell>
          <cell r="B25" t="str">
            <v>GasRes</v>
          </cell>
          <cell r="C25" t="str">
            <v>GasExg</v>
          </cell>
        </row>
        <row r="26">
          <cell r="A26" t="str">
            <v>T18</v>
          </cell>
          <cell r="B26" t="str">
            <v>Gas C&amp;I</v>
          </cell>
          <cell r="C26" t="str">
            <v>None</v>
          </cell>
        </row>
        <row r="27">
          <cell r="A27" t="str">
            <v>T30</v>
          </cell>
          <cell r="B27" t="str">
            <v>Gas C&amp;I</v>
          </cell>
          <cell r="C27" t="str">
            <v>None</v>
          </cell>
        </row>
        <row r="28">
          <cell r="A28" t="str">
            <v>T60</v>
          </cell>
          <cell r="B28" t="str">
            <v>Gas C&amp;I</v>
          </cell>
          <cell r="C28" t="str">
            <v>None</v>
          </cell>
        </row>
        <row r="29">
          <cell r="A29" t="str">
            <v>UNKNOWNG</v>
          </cell>
          <cell r="B29" t="str">
            <v>GasRes</v>
          </cell>
          <cell r="C29" t="str">
            <v>GasExg</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tro to BCA Functions"/>
      <sheetName val="MAIN INPUT"/>
      <sheetName val="ROLLOUT OF SG ELEMENTS"/>
      <sheetName val="RESULTS DASHBOARD (FINANCIAL)"/>
      <sheetName val="RESULTS DASHBOARD (KW &amp; KWh)"/>
      <sheetName val="_zz_Waterfall_data"/>
      <sheetName val="Stranded Costs"/>
      <sheetName val="RATES,LOAD,SALES"/>
      <sheetName val="PP"/>
      <sheetName val="DEMAND &amp; ENERGY CHARTS"/>
      <sheetName val="DSM"/>
      <sheetName val="DSM-R"/>
      <sheetName val="SME"/>
      <sheetName val="SGW"/>
      <sheetName val="SMG"/>
      <sheetName val="MDMS"/>
      <sheetName val="MDMS-R"/>
      <sheetName val="LED"/>
      <sheetName val="DSM TABLES"/>
      <sheetName val="DSM Summary"/>
      <sheetName val="EVPHEV"/>
      <sheetName val="EVPHEV-R"/>
      <sheetName val="DVC"/>
      <sheetName val="CVR"/>
      <sheetName val="CVR-R"/>
      <sheetName val="KUB DA"/>
      <sheetName val="DASA"/>
      <sheetName val="DASA-R"/>
      <sheetName val="DMS"/>
      <sheetName val="DMS-R"/>
      <sheetName val="TELE"/>
      <sheetName val="AMI"/>
      <sheetName val="TTELEAMI-R"/>
      <sheetName val="ITSEC"/>
      <sheetName val="ITSEC-R"/>
      <sheetName val="ITSEC-RawNumbers"/>
      <sheetName val="CIS"/>
      <sheetName val="CIS-R"/>
      <sheetName val="EAM"/>
      <sheetName val="EAM-R"/>
      <sheetName val="OMS"/>
      <sheetName val="OMS-R"/>
      <sheetName val="GIS"/>
      <sheetName val="GIS-R"/>
      <sheetName val="PM"/>
      <sheetName val="PM-R"/>
      <sheetName val="DATA"/>
      <sheetName val="DATA-R"/>
      <sheetName val="DAS"/>
      <sheetName val="DAS-R"/>
      <sheetName val="S_TEST"/>
      <sheetName val="S_TEST-R"/>
      <sheetName val="SYS"/>
      <sheetName val="SYS - Configuration"/>
      <sheetName val="SYS - Work Items"/>
      <sheetName val="SYS - Work Effort"/>
      <sheetName val="SYS - SummaryCalculations"/>
      <sheetName val="SYS-R"/>
      <sheetName val="INT RESOURCES"/>
      <sheetName val="INT &amp; EXT RESOURCES"/>
      <sheetName val="TLM"/>
      <sheetName val="SCENARIO"/>
      <sheetName val="Custom Summary"/>
      <sheetName val="COST-BENEFIT SUMMARY"/>
      <sheetName val="WATERFALL CHART"/>
      <sheetName val="BREAKEVEN POINT"/>
      <sheetName val="SUMMARY-FTES"/>
      <sheetName val="SUMMARY-COSTS"/>
      <sheetName val="Utility Department Costs "/>
      <sheetName val="CAPITAL FINANCING"/>
      <sheetName val="INTEREST"/>
      <sheetName val="SENSITIVITY ANALYSIS"/>
      <sheetName val="Benefit Breakdown"/>
      <sheetName val="Reference Sheet"/>
      <sheetName val="Cost and Benefits by Dept."/>
    </sheetNames>
    <sheetDataSet>
      <sheetData sheetId="0"/>
      <sheetData sheetId="1"/>
      <sheetData sheetId="2"/>
      <sheetData sheetId="3"/>
      <sheetData sheetId="4"/>
      <sheetData sheetId="5"/>
      <sheetData sheetId="6"/>
      <sheetData sheetId="7"/>
      <sheetData sheetId="8">
        <row r="57">
          <cell r="D57">
            <v>4.5</v>
          </cell>
        </row>
        <row r="59">
          <cell r="D59">
            <v>1597620.9599999997</v>
          </cell>
        </row>
        <row r="72">
          <cell r="D72">
            <v>30</v>
          </cell>
        </row>
        <row r="74">
          <cell r="D74">
            <v>718848</v>
          </cell>
        </row>
        <row r="84">
          <cell r="D84">
            <v>50511019.5</v>
          </cell>
        </row>
        <row r="88">
          <cell r="D88">
            <v>54396.748409999993</v>
          </cell>
        </row>
        <row r="98">
          <cell r="D98">
            <v>0</v>
          </cell>
        </row>
      </sheetData>
      <sheetData sheetId="9"/>
      <sheetData sheetId="10"/>
      <sheetData sheetId="11">
        <row r="241">
          <cell r="D241">
            <v>150</v>
          </cell>
        </row>
        <row r="575">
          <cell r="D575">
            <v>0.55900000000000005</v>
          </cell>
        </row>
      </sheetData>
      <sheetData sheetId="12"/>
      <sheetData sheetId="13">
        <row r="24">
          <cell r="E24">
            <v>1209000</v>
          </cell>
        </row>
        <row r="25">
          <cell r="E25">
            <v>39000</v>
          </cell>
        </row>
        <row r="26">
          <cell r="E26">
            <v>52000</v>
          </cell>
        </row>
        <row r="27">
          <cell r="E27">
            <v>0</v>
          </cell>
        </row>
        <row r="29">
          <cell r="E29">
            <v>1300000</v>
          </cell>
        </row>
        <row r="72">
          <cell r="E72">
            <v>1209000</v>
          </cell>
        </row>
      </sheetData>
      <sheetData sheetId="14">
        <row r="30">
          <cell r="H30">
            <v>0</v>
          </cell>
        </row>
      </sheetData>
      <sheetData sheetId="15"/>
      <sheetData sheetId="16"/>
      <sheetData sheetId="17"/>
      <sheetData sheetId="18"/>
      <sheetData sheetId="19"/>
      <sheetData sheetId="20"/>
      <sheetData sheetId="21">
        <row r="38">
          <cell r="D38">
            <v>8</v>
          </cell>
        </row>
      </sheetData>
      <sheetData sheetId="22"/>
      <sheetData sheetId="23">
        <row r="39">
          <cell r="D39">
            <v>0.02</v>
          </cell>
        </row>
        <row r="49">
          <cell r="D49">
            <v>5.0000000000000001E-3</v>
          </cell>
        </row>
      </sheetData>
      <sheetData sheetId="24"/>
      <sheetData sheetId="25"/>
      <sheetData sheetId="26"/>
      <sheetData sheetId="27">
        <row r="219">
          <cell r="D219">
            <v>120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5">
          <cell r="B45">
            <v>0.5</v>
          </cell>
        </row>
        <row r="54">
          <cell r="B54">
            <v>3900</v>
          </cell>
        </row>
        <row r="55">
          <cell r="B55">
            <v>3900</v>
          </cell>
        </row>
        <row r="60">
          <cell r="B60">
            <v>25.434782608695652</v>
          </cell>
        </row>
        <row r="61">
          <cell r="B61">
            <v>2</v>
          </cell>
        </row>
      </sheetData>
      <sheetData sheetId="54">
        <row r="1">
          <cell r="A1" t="str">
            <v>Complexity Scale Factors</v>
          </cell>
        </row>
        <row r="2">
          <cell r="A2" t="str">
            <v>Very High</v>
          </cell>
          <cell r="B2">
            <v>16</v>
          </cell>
        </row>
        <row r="3">
          <cell r="A3" t="str">
            <v>High</v>
          </cell>
          <cell r="B3">
            <v>8</v>
          </cell>
        </row>
        <row r="4">
          <cell r="A4" t="str">
            <v>Medium</v>
          </cell>
          <cell r="B4">
            <v>4</v>
          </cell>
        </row>
        <row r="5">
          <cell r="A5" t="str">
            <v>Low</v>
          </cell>
          <cell r="B5">
            <v>1</v>
          </cell>
        </row>
        <row r="12">
          <cell r="C12" t="str">
            <v>Phases</v>
          </cell>
          <cell r="D12" t="str">
            <v>Disciplines</v>
          </cell>
        </row>
        <row r="13">
          <cell r="A13" t="str">
            <v>Processes</v>
          </cell>
          <cell r="C13" t="str">
            <v>1 - Definition</v>
          </cell>
          <cell r="D13" t="str">
            <v>Architecture</v>
          </cell>
        </row>
        <row r="14">
          <cell r="A14" t="str">
            <v>Environments</v>
          </cell>
          <cell r="C14" t="str">
            <v>2 - Initiation</v>
          </cell>
          <cell r="D14" t="str">
            <v>Development</v>
          </cell>
        </row>
        <row r="15">
          <cell r="A15" t="str">
            <v>Systems</v>
          </cell>
          <cell r="C15" t="str">
            <v>3 - Implementation</v>
          </cell>
          <cell r="D15" t="str">
            <v>Environment</v>
          </cell>
        </row>
        <row r="16">
          <cell r="A16" t="str">
            <v>Messages</v>
          </cell>
          <cell r="C16" t="str">
            <v>4 - Transition</v>
          </cell>
          <cell r="D16" t="str">
            <v>Project Management</v>
          </cell>
        </row>
        <row r="17">
          <cell r="D17" t="str">
            <v>Software Testing</v>
          </cell>
        </row>
        <row r="18">
          <cell r="D18" t="str">
            <v>Release Management</v>
          </cell>
        </row>
        <row r="19">
          <cell r="D19" t="str">
            <v>Configuration Management</v>
          </cell>
        </row>
      </sheetData>
      <sheetData sheetId="55"/>
      <sheetData sheetId="56"/>
      <sheetData sheetId="57"/>
      <sheetData sheetId="58"/>
      <sheetData sheetId="59"/>
      <sheetData sheetId="60"/>
      <sheetData sheetId="61"/>
      <sheetData sheetId="62">
        <row r="13">
          <cell r="C13">
            <v>0.03</v>
          </cell>
        </row>
        <row r="14">
          <cell r="C14">
            <v>0.01</v>
          </cell>
        </row>
        <row r="15">
          <cell r="C15">
            <v>3.61E-2</v>
          </cell>
        </row>
      </sheetData>
      <sheetData sheetId="63"/>
      <sheetData sheetId="64"/>
      <sheetData sheetId="65"/>
      <sheetData sheetId="66"/>
      <sheetData sheetId="67"/>
      <sheetData sheetId="68"/>
      <sheetData sheetId="69"/>
      <sheetData sheetId="70">
        <row r="5">
          <cell r="D5">
            <v>15</v>
          </cell>
        </row>
      </sheetData>
      <sheetData sheetId="71"/>
      <sheetData sheetId="72">
        <row r="3">
          <cell r="C3" t="str">
            <v>Upside</v>
          </cell>
        </row>
      </sheetData>
      <sheetData sheetId="73"/>
      <sheetData sheetId="74"/>
      <sheetData sheetId="7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mcgavisk@westmonroepartners.com" TargetMode="External"/><Relationship Id="rId1" Type="http://schemas.openxmlformats.org/officeDocument/2006/relationships/hyperlink" Target="mailto:Vito.Greco@ElevateEnergy.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
    <tabColor rgb="FFFFC000"/>
  </sheetPr>
  <dimension ref="A1:S66"/>
  <sheetViews>
    <sheetView zoomScale="85" zoomScaleNormal="85" workbookViewId="0">
      <selection activeCell="K85" sqref="K85"/>
    </sheetView>
  </sheetViews>
  <sheetFormatPr defaultColWidth="9.140625" defaultRowHeight="15" x14ac:dyDescent="0.25"/>
  <cols>
    <col min="1" max="3" width="9.140625" style="2"/>
    <col min="4" max="4" width="11.42578125" style="2" customWidth="1"/>
    <col min="5" max="13" width="9.140625" style="2"/>
    <col min="14" max="15" width="9.140625" style="2" customWidth="1"/>
    <col min="16" max="16" width="13.140625" style="2" customWidth="1"/>
    <col min="17" max="16384" width="9.140625" style="2"/>
  </cols>
  <sheetData>
    <row r="1" spans="1:16" ht="19.899999999999999" customHeight="1" x14ac:dyDescent="0.3"/>
    <row r="7" spans="1:16" s="257" customFormat="1" ht="14.45" x14ac:dyDescent="0.3"/>
    <row r="8" spans="1:16" s="257" customFormat="1" ht="23.45" x14ac:dyDescent="0.45">
      <c r="A8" s="644" t="s">
        <v>303</v>
      </c>
      <c r="B8" s="644"/>
      <c r="C8" s="644"/>
      <c r="D8" s="644"/>
      <c r="E8" s="644"/>
      <c r="F8" s="644"/>
      <c r="G8" s="644"/>
      <c r="H8" s="644"/>
      <c r="I8" s="644"/>
      <c r="J8" s="644"/>
      <c r="K8" s="644"/>
      <c r="L8" s="644"/>
      <c r="M8" s="644"/>
      <c r="N8" s="644"/>
      <c r="O8" s="644"/>
      <c r="P8" s="644"/>
    </row>
    <row r="9" spans="1:16" s="257" customFormat="1" ht="14.45" x14ac:dyDescent="0.3">
      <c r="A9" s="645" t="s">
        <v>308</v>
      </c>
      <c r="B9" s="645"/>
      <c r="C9" s="645"/>
      <c r="D9" s="645"/>
      <c r="E9" s="645"/>
      <c r="F9" s="645"/>
      <c r="G9" s="645"/>
      <c r="H9" s="645"/>
      <c r="I9" s="645"/>
      <c r="J9" s="645"/>
      <c r="K9" s="645"/>
      <c r="L9" s="645"/>
      <c r="M9" s="645"/>
      <c r="N9" s="645"/>
      <c r="O9" s="645"/>
      <c r="P9" s="645"/>
    </row>
    <row r="10" spans="1:16" ht="14.45" customHeight="1" x14ac:dyDescent="0.3">
      <c r="A10" s="252"/>
      <c r="B10" s="252"/>
      <c r="C10" s="252"/>
      <c r="D10" s="252"/>
      <c r="E10" s="252"/>
      <c r="F10" s="252"/>
      <c r="G10" s="252"/>
      <c r="H10" s="252"/>
      <c r="I10" s="252"/>
      <c r="J10" s="252"/>
      <c r="K10" s="252"/>
      <c r="L10" s="252"/>
      <c r="M10" s="252"/>
      <c r="N10" s="252"/>
      <c r="O10" s="252"/>
      <c r="P10" s="252"/>
    </row>
    <row r="11" spans="1:16" ht="15.75" customHeight="1" x14ac:dyDescent="0.25">
      <c r="A11" s="252"/>
      <c r="B11" s="252"/>
      <c r="C11" s="252"/>
      <c r="D11" s="252"/>
      <c r="E11" s="252"/>
      <c r="F11" s="252"/>
      <c r="G11" s="252"/>
      <c r="H11" s="252"/>
      <c r="I11" s="252"/>
      <c r="J11" s="252"/>
      <c r="K11" s="252"/>
      <c r="L11" s="252"/>
      <c r="M11" s="252"/>
      <c r="N11" s="252"/>
      <c r="O11" s="252"/>
      <c r="P11" s="252"/>
    </row>
    <row r="12" spans="1:16" ht="15.6" customHeight="1" x14ac:dyDescent="0.25">
      <c r="A12" s="252"/>
      <c r="B12" s="252"/>
      <c r="C12" s="252"/>
      <c r="D12" s="252"/>
      <c r="E12" s="252"/>
      <c r="F12" s="252"/>
      <c r="G12" s="252"/>
      <c r="H12" s="252"/>
      <c r="I12" s="252"/>
      <c r="J12" s="252"/>
      <c r="K12" s="252"/>
      <c r="L12" s="252"/>
      <c r="M12" s="252"/>
      <c r="N12" s="252"/>
      <c r="O12" s="252"/>
      <c r="P12" s="252"/>
    </row>
    <row r="13" spans="1:16" ht="31.5" customHeight="1" x14ac:dyDescent="0.25">
      <c r="A13" s="252"/>
      <c r="B13" s="252"/>
      <c r="C13" s="252"/>
      <c r="D13" s="252"/>
      <c r="E13" s="252"/>
      <c r="F13" s="252"/>
      <c r="G13" s="252"/>
      <c r="H13" s="252"/>
      <c r="I13" s="252"/>
      <c r="J13" s="252"/>
      <c r="K13" s="252"/>
      <c r="L13" s="252"/>
      <c r="M13" s="252"/>
      <c r="N13" s="252"/>
      <c r="O13" s="252"/>
      <c r="P13" s="252"/>
    </row>
    <row r="14" spans="1:16" ht="15" customHeight="1" x14ac:dyDescent="0.25">
      <c r="A14" s="252"/>
      <c r="B14" s="252"/>
      <c r="C14" s="252"/>
      <c r="D14" s="252"/>
      <c r="E14" s="252"/>
      <c r="F14" s="252"/>
      <c r="G14" s="252"/>
      <c r="H14" s="252"/>
      <c r="I14" s="252"/>
      <c r="J14" s="252"/>
      <c r="K14" s="252"/>
      <c r="L14" s="252"/>
      <c r="M14" s="252"/>
      <c r="N14" s="252"/>
      <c r="O14" s="252"/>
      <c r="P14" s="252"/>
    </row>
    <row r="15" spans="1:16" ht="15.75" customHeight="1" x14ac:dyDescent="0.25">
      <c r="A15" s="252"/>
      <c r="B15" s="252"/>
      <c r="C15" s="252"/>
      <c r="D15" s="252"/>
      <c r="E15" s="252"/>
      <c r="F15" s="252"/>
      <c r="G15" s="252"/>
      <c r="H15" s="252"/>
      <c r="I15" s="252"/>
      <c r="J15" s="252"/>
      <c r="K15" s="252"/>
      <c r="L15" s="252"/>
      <c r="M15" s="252"/>
      <c r="N15" s="252"/>
      <c r="O15" s="252"/>
      <c r="P15" s="252"/>
    </row>
    <row r="16" spans="1:16" ht="15.6" customHeight="1" x14ac:dyDescent="0.25">
      <c r="A16" s="252"/>
      <c r="B16" s="252"/>
      <c r="C16" s="252"/>
      <c r="D16" s="252"/>
      <c r="E16" s="252"/>
      <c r="F16" s="252"/>
      <c r="G16" s="252"/>
      <c r="H16" s="252"/>
      <c r="I16" s="252"/>
      <c r="J16" s="252"/>
      <c r="K16" s="252"/>
      <c r="L16" s="252"/>
      <c r="M16" s="252"/>
      <c r="N16" s="252"/>
      <c r="O16" s="252"/>
      <c r="P16" s="252"/>
    </row>
    <row r="17" spans="1:19" ht="15" customHeight="1" x14ac:dyDescent="0.25">
      <c r="A17" s="252"/>
      <c r="B17" s="252"/>
      <c r="C17" s="252"/>
      <c r="D17" s="252"/>
      <c r="E17" s="252"/>
      <c r="F17" s="252"/>
      <c r="G17" s="252"/>
      <c r="H17" s="252"/>
      <c r="I17" s="252"/>
      <c r="J17" s="252"/>
      <c r="K17" s="252"/>
      <c r="L17" s="252"/>
      <c r="M17" s="252"/>
      <c r="N17" s="252"/>
      <c r="O17" s="252"/>
      <c r="P17" s="252"/>
      <c r="S17" s="3"/>
    </row>
    <row r="18" spans="1:19" x14ac:dyDescent="0.25">
      <c r="A18" s="252"/>
      <c r="B18" s="252"/>
      <c r="C18" s="252"/>
      <c r="D18" s="252"/>
      <c r="E18" s="252"/>
      <c r="F18" s="252"/>
      <c r="G18" s="252"/>
      <c r="H18" s="252"/>
      <c r="I18" s="252"/>
      <c r="J18" s="252"/>
      <c r="K18" s="252"/>
      <c r="L18" s="252"/>
      <c r="M18" s="252"/>
      <c r="N18" s="252"/>
      <c r="O18" s="252"/>
      <c r="P18" s="252"/>
    </row>
    <row r="19" spans="1:19" x14ac:dyDescent="0.25">
      <c r="A19" s="252"/>
      <c r="B19" s="252"/>
      <c r="C19" s="252"/>
      <c r="D19" s="252"/>
      <c r="E19" s="252"/>
      <c r="F19" s="252"/>
      <c r="G19" s="252"/>
      <c r="H19" s="252"/>
      <c r="I19" s="252"/>
      <c r="J19" s="252"/>
      <c r="K19" s="252"/>
      <c r="L19" s="252"/>
      <c r="M19" s="252"/>
      <c r="N19" s="252"/>
      <c r="O19" s="252"/>
      <c r="P19" s="252"/>
    </row>
    <row r="20" spans="1:19" x14ac:dyDescent="0.25">
      <c r="A20" s="252"/>
      <c r="B20" s="252"/>
      <c r="C20" s="252"/>
      <c r="D20" s="252"/>
      <c r="E20" s="252"/>
      <c r="F20" s="252"/>
      <c r="G20" s="252"/>
      <c r="H20" s="252"/>
      <c r="I20" s="252"/>
      <c r="J20" s="252"/>
      <c r="K20" s="252"/>
      <c r="L20" s="252"/>
      <c r="M20" s="252"/>
      <c r="N20" s="252"/>
      <c r="O20" s="252"/>
      <c r="P20" s="252"/>
    </row>
    <row r="21" spans="1:19" x14ac:dyDescent="0.25">
      <c r="A21" s="252"/>
      <c r="B21" s="252"/>
      <c r="C21" s="252"/>
      <c r="D21" s="252"/>
      <c r="E21" s="252"/>
      <c r="F21" s="252"/>
      <c r="G21" s="252"/>
      <c r="H21" s="252"/>
      <c r="I21" s="252"/>
      <c r="J21" s="252"/>
      <c r="K21" s="252"/>
      <c r="L21" s="252"/>
      <c r="M21" s="252"/>
      <c r="N21" s="252"/>
      <c r="O21" s="252"/>
      <c r="P21" s="252"/>
    </row>
    <row r="22" spans="1:19" x14ac:dyDescent="0.25">
      <c r="A22" s="252"/>
      <c r="B22" s="252"/>
      <c r="C22" s="252"/>
      <c r="D22" s="252"/>
      <c r="E22" s="252"/>
      <c r="F22" s="252"/>
      <c r="G22" s="252"/>
      <c r="H22" s="252"/>
      <c r="I22" s="252"/>
      <c r="J22" s="252"/>
      <c r="K22" s="252"/>
      <c r="L22" s="252"/>
      <c r="M22" s="252"/>
      <c r="N22" s="252"/>
      <c r="O22" s="252"/>
      <c r="P22" s="252"/>
    </row>
    <row r="23" spans="1:19" x14ac:dyDescent="0.25">
      <c r="A23" s="252"/>
      <c r="B23" s="252"/>
      <c r="C23" s="252"/>
      <c r="D23" s="252"/>
      <c r="E23" s="252"/>
      <c r="F23" s="252"/>
      <c r="G23" s="252"/>
      <c r="H23" s="252"/>
      <c r="I23" s="252"/>
      <c r="J23" s="252"/>
      <c r="K23" s="252"/>
      <c r="L23" s="252"/>
      <c r="M23" s="252"/>
      <c r="N23" s="252"/>
      <c r="O23" s="252"/>
      <c r="P23" s="252"/>
    </row>
    <row r="24" spans="1:19" x14ac:dyDescent="0.25">
      <c r="A24" s="252"/>
      <c r="B24" s="252"/>
      <c r="C24" s="252"/>
      <c r="D24" s="252"/>
      <c r="E24" s="252"/>
      <c r="F24" s="252"/>
      <c r="G24" s="252"/>
      <c r="H24" s="252"/>
      <c r="I24" s="252"/>
      <c r="J24" s="252"/>
      <c r="K24" s="252"/>
      <c r="L24" s="252"/>
      <c r="M24" s="252"/>
      <c r="N24" s="252"/>
      <c r="O24" s="252"/>
      <c r="P24" s="252"/>
    </row>
    <row r="25" spans="1:19" x14ac:dyDescent="0.25">
      <c r="A25" s="252"/>
      <c r="B25" s="252"/>
      <c r="C25" s="252"/>
      <c r="D25" s="252"/>
      <c r="E25" s="252"/>
      <c r="F25" s="252"/>
      <c r="G25" s="252"/>
      <c r="H25" s="252"/>
      <c r="I25" s="252"/>
      <c r="J25" s="252"/>
      <c r="K25" s="252"/>
      <c r="L25" s="252"/>
      <c r="M25" s="252"/>
      <c r="N25" s="252"/>
      <c r="O25" s="252"/>
      <c r="P25" s="252"/>
    </row>
    <row r="26" spans="1:19" x14ac:dyDescent="0.25">
      <c r="A26" s="252"/>
      <c r="B26" s="252"/>
      <c r="C26" s="252"/>
      <c r="D26" s="252"/>
      <c r="E26" s="252"/>
      <c r="F26" s="252"/>
      <c r="G26" s="252"/>
      <c r="H26" s="252"/>
      <c r="I26" s="252"/>
      <c r="J26" s="252"/>
      <c r="K26" s="252"/>
      <c r="L26" s="252"/>
      <c r="M26" s="252"/>
      <c r="N26" s="252"/>
      <c r="O26" s="252"/>
      <c r="P26" s="252"/>
    </row>
    <row r="27" spans="1:19" x14ac:dyDescent="0.25">
      <c r="A27" s="252"/>
      <c r="B27" s="252"/>
      <c r="C27" s="252"/>
      <c r="D27" s="252"/>
      <c r="E27" s="252"/>
      <c r="F27" s="252"/>
      <c r="G27" s="252"/>
      <c r="H27" s="252"/>
      <c r="I27" s="252"/>
      <c r="J27" s="252"/>
      <c r="K27" s="252"/>
      <c r="L27" s="252"/>
      <c r="M27" s="252"/>
      <c r="N27" s="252"/>
      <c r="O27" s="252"/>
      <c r="P27" s="252"/>
    </row>
    <row r="28" spans="1:19" x14ac:dyDescent="0.25">
      <c r="A28" s="252"/>
      <c r="B28" s="252"/>
      <c r="C28" s="252"/>
      <c r="D28" s="252"/>
      <c r="E28" s="252"/>
      <c r="F28" s="252"/>
      <c r="G28" s="252"/>
      <c r="H28" s="252"/>
      <c r="I28" s="252"/>
      <c r="J28" s="252"/>
      <c r="K28" s="252"/>
      <c r="L28" s="252"/>
      <c r="M28" s="252"/>
      <c r="N28" s="252"/>
      <c r="O28" s="252"/>
      <c r="P28" s="252"/>
    </row>
    <row r="29" spans="1:19" x14ac:dyDescent="0.25">
      <c r="A29" s="252"/>
      <c r="B29" s="252"/>
      <c r="C29" s="252"/>
      <c r="D29" s="252"/>
      <c r="E29" s="252"/>
      <c r="F29" s="252"/>
      <c r="G29" s="252"/>
      <c r="H29" s="252"/>
      <c r="I29" s="252"/>
      <c r="J29" s="252"/>
      <c r="K29" s="252"/>
      <c r="L29" s="252"/>
      <c r="M29" s="252"/>
      <c r="N29" s="252"/>
      <c r="O29" s="252"/>
      <c r="P29" s="252"/>
    </row>
    <row r="30" spans="1:19" x14ac:dyDescent="0.25">
      <c r="A30" s="252"/>
      <c r="B30" s="252"/>
      <c r="C30" s="252"/>
      <c r="D30" s="252"/>
      <c r="E30" s="252"/>
      <c r="F30" s="252"/>
      <c r="G30" s="252"/>
      <c r="H30" s="252"/>
      <c r="I30" s="252"/>
      <c r="J30" s="252"/>
      <c r="K30" s="252"/>
      <c r="L30" s="252"/>
      <c r="M30" s="252"/>
      <c r="N30" s="252"/>
      <c r="O30" s="252"/>
      <c r="P30" s="252"/>
    </row>
    <row r="31" spans="1:19" x14ac:dyDescent="0.25">
      <c r="A31" s="252"/>
      <c r="B31" s="252"/>
      <c r="C31" s="252"/>
      <c r="D31" s="252"/>
      <c r="E31" s="252"/>
      <c r="F31" s="252"/>
      <c r="G31" s="252"/>
      <c r="H31" s="252"/>
      <c r="I31" s="252"/>
      <c r="J31" s="252"/>
      <c r="K31" s="252"/>
      <c r="L31" s="252"/>
      <c r="M31" s="252"/>
      <c r="N31" s="252"/>
      <c r="O31" s="252"/>
      <c r="P31" s="252"/>
    </row>
    <row r="32" spans="1:19" x14ac:dyDescent="0.25">
      <c r="A32" s="252"/>
      <c r="B32" s="252"/>
      <c r="C32" s="252"/>
      <c r="D32" s="252"/>
      <c r="E32" s="252"/>
      <c r="F32" s="252"/>
      <c r="G32" s="252"/>
      <c r="H32" s="252"/>
      <c r="I32" s="252"/>
      <c r="J32" s="252"/>
      <c r="K32" s="252"/>
      <c r="L32" s="252"/>
      <c r="M32" s="252"/>
      <c r="N32" s="252"/>
      <c r="O32" s="252"/>
      <c r="P32" s="252"/>
    </row>
    <row r="33" spans="1:19" x14ac:dyDescent="0.25">
      <c r="A33" s="252"/>
      <c r="B33" s="252"/>
      <c r="C33" s="252"/>
      <c r="D33" s="252"/>
      <c r="E33" s="252"/>
      <c r="F33" s="252"/>
      <c r="G33" s="252"/>
      <c r="H33" s="252"/>
      <c r="I33" s="252"/>
      <c r="J33" s="252"/>
      <c r="K33" s="252"/>
      <c r="L33" s="252"/>
      <c r="M33" s="252"/>
      <c r="N33" s="252"/>
      <c r="O33" s="252"/>
      <c r="P33" s="252"/>
    </row>
    <row r="34" spans="1:19" x14ac:dyDescent="0.25">
      <c r="A34" s="252"/>
      <c r="B34" s="252"/>
      <c r="C34" s="252"/>
      <c r="D34" s="252"/>
      <c r="E34" s="252"/>
      <c r="F34" s="252"/>
      <c r="G34" s="252"/>
      <c r="H34" s="252"/>
      <c r="I34" s="252"/>
      <c r="J34" s="252"/>
      <c r="K34" s="252"/>
      <c r="L34" s="252"/>
      <c r="M34" s="252"/>
      <c r="N34" s="252"/>
      <c r="O34" s="252"/>
      <c r="P34" s="252"/>
    </row>
    <row r="35" spans="1:19" x14ac:dyDescent="0.25">
      <c r="A35" s="252"/>
      <c r="B35" s="252"/>
      <c r="C35" s="252"/>
      <c r="D35" s="252"/>
      <c r="E35" s="252"/>
      <c r="F35" s="252"/>
      <c r="G35" s="252"/>
      <c r="H35" s="252"/>
      <c r="I35" s="252"/>
      <c r="J35" s="252"/>
      <c r="K35" s="252"/>
      <c r="L35" s="252"/>
      <c r="M35" s="252"/>
      <c r="N35" s="252"/>
      <c r="O35" s="252"/>
      <c r="P35" s="252"/>
    </row>
    <row r="36" spans="1:19" x14ac:dyDescent="0.25">
      <c r="A36" s="252"/>
      <c r="B36" s="252"/>
      <c r="C36" s="252"/>
      <c r="D36" s="252"/>
      <c r="E36" s="252"/>
      <c r="F36" s="252"/>
      <c r="G36" s="252"/>
      <c r="H36" s="252"/>
      <c r="I36" s="252"/>
      <c r="J36" s="252"/>
      <c r="K36" s="252"/>
      <c r="L36" s="252"/>
      <c r="M36" s="252"/>
      <c r="N36" s="252"/>
      <c r="O36" s="252"/>
      <c r="P36" s="252"/>
    </row>
    <row r="37" spans="1:19" x14ac:dyDescent="0.25">
      <c r="A37" s="252"/>
      <c r="B37" s="252"/>
      <c r="C37" s="252"/>
      <c r="D37" s="252"/>
      <c r="E37" s="252"/>
      <c r="F37" s="252"/>
      <c r="G37" s="252"/>
      <c r="H37" s="252"/>
      <c r="I37" s="252"/>
      <c r="J37" s="252"/>
      <c r="K37" s="252"/>
      <c r="L37" s="252"/>
      <c r="M37" s="252"/>
      <c r="N37" s="252"/>
      <c r="O37" s="252"/>
      <c r="P37" s="252"/>
    </row>
    <row r="38" spans="1:19" s="257" customFormat="1" x14ac:dyDescent="0.25">
      <c r="A38" s="252"/>
      <c r="B38" s="252"/>
      <c r="C38" s="252"/>
      <c r="D38" s="252"/>
      <c r="E38" s="252"/>
      <c r="F38" s="252"/>
      <c r="G38" s="252"/>
      <c r="H38" s="252"/>
      <c r="I38" s="252"/>
      <c r="J38" s="252"/>
      <c r="K38" s="252"/>
      <c r="L38" s="252"/>
      <c r="M38" s="252"/>
      <c r="N38" s="252"/>
      <c r="O38" s="252"/>
      <c r="P38" s="252"/>
    </row>
    <row r="39" spans="1:19" s="257" customFormat="1" x14ac:dyDescent="0.25">
      <c r="A39" s="252"/>
      <c r="B39" s="252"/>
      <c r="C39" s="252"/>
      <c r="D39" s="252"/>
      <c r="E39" s="252"/>
      <c r="F39" s="252"/>
      <c r="G39" s="252"/>
      <c r="H39" s="252"/>
      <c r="I39" s="252"/>
      <c r="J39" s="252"/>
      <c r="K39" s="252"/>
      <c r="L39" s="252"/>
      <c r="M39" s="252"/>
      <c r="N39" s="252"/>
      <c r="O39" s="252"/>
      <c r="P39" s="252"/>
    </row>
    <row r="40" spans="1:19" s="257" customFormat="1" x14ac:dyDescent="0.25">
      <c r="A40" s="252"/>
      <c r="B40" s="252"/>
      <c r="C40" s="252"/>
      <c r="D40" s="252"/>
      <c r="E40" s="252"/>
      <c r="F40" s="252"/>
      <c r="G40" s="252"/>
      <c r="H40" s="252"/>
      <c r="I40" s="252"/>
      <c r="J40" s="252"/>
      <c r="K40" s="252"/>
      <c r="L40" s="252"/>
      <c r="M40" s="252"/>
      <c r="N40" s="252"/>
      <c r="O40" s="252"/>
      <c r="P40" s="252"/>
    </row>
    <row r="41" spans="1:19" x14ac:dyDescent="0.25">
      <c r="A41" s="252"/>
      <c r="B41" s="252"/>
      <c r="C41" s="252"/>
      <c r="D41" s="252"/>
      <c r="E41" s="252"/>
      <c r="F41" s="252"/>
      <c r="G41" s="252"/>
      <c r="H41" s="252"/>
      <c r="I41" s="252"/>
      <c r="J41" s="252"/>
      <c r="K41" s="252"/>
      <c r="L41" s="252"/>
      <c r="M41" s="252"/>
      <c r="N41" s="252"/>
      <c r="O41" s="252"/>
      <c r="P41" s="252"/>
    </row>
    <row r="42" spans="1:19" s="257" customFormat="1" x14ac:dyDescent="0.25">
      <c r="A42" s="252"/>
      <c r="B42" s="252"/>
      <c r="C42" s="252"/>
      <c r="D42" s="252"/>
      <c r="E42" s="252"/>
      <c r="F42" s="252"/>
      <c r="G42" s="252"/>
      <c r="H42" s="252"/>
      <c r="I42" s="252"/>
      <c r="J42" s="252"/>
      <c r="K42" s="252"/>
      <c r="L42" s="252"/>
      <c r="M42" s="252"/>
      <c r="N42" s="252"/>
      <c r="O42" s="252"/>
      <c r="P42" s="252"/>
    </row>
    <row r="43" spans="1:19" s="257" customFormat="1" x14ac:dyDescent="0.25">
      <c r="A43" s="252"/>
      <c r="B43" s="252"/>
      <c r="C43" s="252"/>
      <c r="D43" s="252"/>
      <c r="E43" s="252"/>
      <c r="F43" s="252"/>
      <c r="G43" s="252"/>
      <c r="H43" s="252"/>
      <c r="I43" s="252"/>
      <c r="J43" s="252"/>
      <c r="K43" s="252"/>
      <c r="L43" s="252"/>
      <c r="M43" s="252"/>
      <c r="N43" s="252"/>
      <c r="O43" s="252"/>
      <c r="P43" s="252"/>
    </row>
    <row r="44" spans="1:19" s="257" customFormat="1" x14ac:dyDescent="0.25">
      <c r="A44" s="252"/>
      <c r="B44" s="252"/>
      <c r="C44" s="252"/>
      <c r="D44" s="252"/>
      <c r="E44" s="252"/>
      <c r="F44" s="252"/>
      <c r="G44" s="252"/>
      <c r="H44" s="252"/>
      <c r="I44" s="252"/>
      <c r="J44" s="252"/>
      <c r="K44" s="252"/>
      <c r="L44" s="252"/>
      <c r="M44" s="252"/>
      <c r="N44" s="252"/>
      <c r="O44" s="252"/>
      <c r="P44" s="252"/>
    </row>
    <row r="45" spans="1:19" ht="19.899999999999999" customHeight="1" x14ac:dyDescent="0.25">
      <c r="A45" s="255" t="s">
        <v>244</v>
      </c>
      <c r="B45" s="253"/>
      <c r="C45" s="253"/>
      <c r="D45" s="253"/>
      <c r="E45" s="253"/>
      <c r="F45" s="253"/>
      <c r="G45" s="253"/>
      <c r="H45" s="253"/>
      <c r="P45" s="59"/>
      <c r="Q45" s="59"/>
      <c r="R45" s="59"/>
      <c r="S45" s="59"/>
    </row>
    <row r="46" spans="1:19" ht="18.75" x14ac:dyDescent="0.25">
      <c r="A46" s="254" t="s">
        <v>247</v>
      </c>
      <c r="B46" s="253"/>
      <c r="C46" s="253"/>
      <c r="D46" s="253"/>
      <c r="E46" s="256" t="s">
        <v>248</v>
      </c>
      <c r="G46" s="253"/>
      <c r="H46" s="253"/>
      <c r="P46" s="59"/>
      <c r="Q46" s="59"/>
      <c r="R46" s="59"/>
      <c r="S46" s="59"/>
    </row>
    <row r="47" spans="1:19" ht="18.75" x14ac:dyDescent="0.25">
      <c r="A47" s="254" t="s">
        <v>245</v>
      </c>
      <c r="B47" s="253"/>
      <c r="C47" s="253"/>
      <c r="D47" s="256" t="s">
        <v>246</v>
      </c>
      <c r="E47" s="253"/>
      <c r="F47" s="253"/>
      <c r="G47" s="253"/>
      <c r="H47" s="253"/>
    </row>
    <row r="48" spans="1:19" ht="18.75" x14ac:dyDescent="0.25">
      <c r="A48" s="253"/>
      <c r="B48" s="253"/>
      <c r="C48" s="253"/>
      <c r="D48" s="253"/>
      <c r="E48" s="253"/>
      <c r="F48" s="253"/>
      <c r="G48" s="253"/>
      <c r="H48" s="253"/>
    </row>
    <row r="49" spans="1:15" x14ac:dyDescent="0.25">
      <c r="A49" s="646" t="s">
        <v>258</v>
      </c>
      <c r="B49" s="646"/>
      <c r="C49" s="646"/>
      <c r="D49" s="646"/>
      <c r="E49" s="646"/>
      <c r="F49" s="646"/>
      <c r="G49" s="646"/>
      <c r="H49" s="646"/>
      <c r="I49" s="646"/>
      <c r="J49" s="646"/>
      <c r="K49" s="646"/>
      <c r="L49" s="646"/>
      <c r="M49" s="646"/>
      <c r="N49" s="646"/>
      <c r="O49" s="646"/>
    </row>
    <row r="50" spans="1:15" x14ac:dyDescent="0.25">
      <c r="A50" s="646"/>
      <c r="B50" s="646"/>
      <c r="C50" s="646"/>
      <c r="D50" s="646"/>
      <c r="E50" s="646"/>
      <c r="F50" s="646"/>
      <c r="G50" s="646"/>
      <c r="H50" s="646"/>
      <c r="I50" s="646"/>
      <c r="J50" s="646"/>
      <c r="K50" s="646"/>
      <c r="L50" s="646"/>
      <c r="M50" s="646"/>
      <c r="N50" s="646"/>
      <c r="O50" s="646"/>
    </row>
    <row r="51" spans="1:15" x14ac:dyDescent="0.25">
      <c r="A51" s="646"/>
      <c r="B51" s="646"/>
      <c r="C51" s="646"/>
      <c r="D51" s="646"/>
      <c r="E51" s="646"/>
      <c r="F51" s="646"/>
      <c r="G51" s="646"/>
      <c r="H51" s="646"/>
      <c r="I51" s="646"/>
      <c r="J51" s="646"/>
      <c r="K51" s="646"/>
      <c r="L51" s="646"/>
      <c r="M51" s="646"/>
      <c r="N51" s="646"/>
      <c r="O51" s="646"/>
    </row>
    <row r="52" spans="1:15" x14ac:dyDescent="0.25">
      <c r="A52" s="646"/>
      <c r="B52" s="646"/>
      <c r="C52" s="646"/>
      <c r="D52" s="646"/>
      <c r="E52" s="646"/>
      <c r="F52" s="646"/>
      <c r="G52" s="646"/>
      <c r="H52" s="646"/>
      <c r="I52" s="646"/>
      <c r="J52" s="646"/>
      <c r="K52" s="646"/>
      <c r="L52" s="646"/>
      <c r="M52" s="646"/>
      <c r="N52" s="646"/>
      <c r="O52" s="646"/>
    </row>
    <row r="53" spans="1:15" x14ac:dyDescent="0.25">
      <c r="A53" s="646"/>
      <c r="B53" s="646"/>
      <c r="C53" s="646"/>
      <c r="D53" s="646"/>
      <c r="E53" s="646"/>
      <c r="F53" s="646"/>
      <c r="G53" s="646"/>
      <c r="H53" s="646"/>
      <c r="I53" s="646"/>
      <c r="J53" s="646"/>
      <c r="K53" s="646"/>
      <c r="L53" s="646"/>
      <c r="M53" s="646"/>
      <c r="N53" s="646"/>
      <c r="O53" s="646"/>
    </row>
    <row r="54" spans="1:15" x14ac:dyDescent="0.25">
      <c r="A54" s="646"/>
      <c r="B54" s="646"/>
      <c r="C54" s="646"/>
      <c r="D54" s="646"/>
      <c r="E54" s="646"/>
      <c r="F54" s="646"/>
      <c r="G54" s="646"/>
      <c r="H54" s="646"/>
      <c r="I54" s="646"/>
      <c r="J54" s="646"/>
      <c r="K54" s="646"/>
      <c r="L54" s="646"/>
      <c r="M54" s="646"/>
      <c r="N54" s="646"/>
      <c r="O54" s="646"/>
    </row>
    <row r="55" spans="1:15" x14ac:dyDescent="0.25">
      <c r="A55" s="646"/>
      <c r="B55" s="646"/>
      <c r="C55" s="646"/>
      <c r="D55" s="646"/>
      <c r="E55" s="646"/>
      <c r="F55" s="646"/>
      <c r="G55" s="646"/>
      <c r="H55" s="646"/>
      <c r="I55" s="646"/>
      <c r="J55" s="646"/>
      <c r="K55" s="646"/>
      <c r="L55" s="646"/>
      <c r="M55" s="646"/>
      <c r="N55" s="646"/>
      <c r="O55" s="646"/>
    </row>
    <row r="56" spans="1:15" s="257" customFormat="1" x14ac:dyDescent="0.25">
      <c r="A56" s="325"/>
      <c r="B56" s="325"/>
      <c r="C56" s="325"/>
      <c r="D56" s="325"/>
      <c r="E56" s="325"/>
      <c r="F56" s="325"/>
      <c r="G56" s="325"/>
      <c r="H56" s="325"/>
      <c r="I56" s="325"/>
      <c r="J56" s="325"/>
      <c r="K56" s="325"/>
      <c r="L56" s="325"/>
      <c r="M56" s="325"/>
      <c r="N56" s="325"/>
      <c r="O56" s="325"/>
    </row>
    <row r="57" spans="1:15" x14ac:dyDescent="0.25">
      <c r="A57" s="646" t="s">
        <v>210</v>
      </c>
      <c r="B57" s="646"/>
      <c r="C57" s="646"/>
      <c r="D57" s="646"/>
      <c r="E57" s="646"/>
      <c r="F57" s="646"/>
      <c r="G57" s="646"/>
      <c r="H57" s="646"/>
      <c r="I57" s="646"/>
      <c r="J57" s="646"/>
      <c r="K57" s="646"/>
      <c r="L57" s="646"/>
      <c r="M57" s="646"/>
      <c r="N57" s="646"/>
      <c r="O57" s="646"/>
    </row>
    <row r="58" spans="1:15" x14ac:dyDescent="0.25">
      <c r="A58" s="646"/>
      <c r="B58" s="646"/>
      <c r="C58" s="646"/>
      <c r="D58" s="646"/>
      <c r="E58" s="646"/>
      <c r="F58" s="646"/>
      <c r="G58" s="646"/>
      <c r="H58" s="646"/>
      <c r="I58" s="646"/>
      <c r="J58" s="646"/>
      <c r="K58" s="646"/>
      <c r="L58" s="646"/>
      <c r="M58" s="646"/>
      <c r="N58" s="646"/>
      <c r="O58" s="646"/>
    </row>
    <row r="59" spans="1:15" x14ac:dyDescent="0.25">
      <c r="A59" s="646"/>
      <c r="B59" s="646"/>
      <c r="C59" s="646"/>
      <c r="D59" s="646"/>
      <c r="E59" s="646"/>
      <c r="F59" s="646"/>
      <c r="G59" s="646"/>
      <c r="H59" s="646"/>
      <c r="I59" s="646"/>
      <c r="J59" s="646"/>
      <c r="K59" s="646"/>
      <c r="L59" s="646"/>
      <c r="M59" s="646"/>
      <c r="N59" s="646"/>
      <c r="O59" s="646"/>
    </row>
    <row r="60" spans="1:15" x14ac:dyDescent="0.25">
      <c r="A60" s="646"/>
      <c r="B60" s="646"/>
      <c r="C60" s="646"/>
      <c r="D60" s="646"/>
      <c r="E60" s="646"/>
      <c r="F60" s="646"/>
      <c r="G60" s="646"/>
      <c r="H60" s="646"/>
      <c r="I60" s="646"/>
      <c r="J60" s="646"/>
      <c r="K60" s="646"/>
      <c r="L60" s="646"/>
      <c r="M60" s="646"/>
      <c r="N60" s="646"/>
      <c r="O60" s="646"/>
    </row>
    <row r="61" spans="1:15" x14ac:dyDescent="0.25">
      <c r="A61" s="646"/>
      <c r="B61" s="646"/>
      <c r="C61" s="646"/>
      <c r="D61" s="646"/>
      <c r="E61" s="646"/>
      <c r="F61" s="646"/>
      <c r="G61" s="646"/>
      <c r="H61" s="646"/>
      <c r="I61" s="646"/>
      <c r="J61" s="646"/>
      <c r="K61" s="646"/>
      <c r="L61" s="646"/>
      <c r="M61" s="646"/>
      <c r="N61" s="646"/>
      <c r="O61" s="646"/>
    </row>
    <row r="62" spans="1:15" x14ac:dyDescent="0.25">
      <c r="A62" s="646"/>
      <c r="B62" s="646"/>
      <c r="C62" s="646"/>
      <c r="D62" s="646"/>
      <c r="E62" s="646"/>
      <c r="F62" s="646"/>
      <c r="G62" s="646"/>
      <c r="H62" s="646"/>
      <c r="I62" s="646"/>
      <c r="J62" s="646"/>
      <c r="K62" s="646"/>
      <c r="L62" s="646"/>
      <c r="M62" s="646"/>
      <c r="N62" s="646"/>
      <c r="O62" s="646"/>
    </row>
    <row r="63" spans="1:15" x14ac:dyDescent="0.25">
      <c r="A63" s="646"/>
      <c r="B63" s="646"/>
      <c r="C63" s="646"/>
      <c r="D63" s="646"/>
      <c r="E63" s="646"/>
      <c r="F63" s="646"/>
      <c r="G63" s="646"/>
      <c r="H63" s="646"/>
      <c r="I63" s="646"/>
      <c r="J63" s="646"/>
      <c r="K63" s="646"/>
      <c r="L63" s="646"/>
      <c r="M63" s="646"/>
      <c r="N63" s="646"/>
      <c r="O63" s="646"/>
    </row>
    <row r="64" spans="1:15" x14ac:dyDescent="0.25">
      <c r="A64" s="646"/>
      <c r="B64" s="646"/>
      <c r="C64" s="646"/>
      <c r="D64" s="646"/>
      <c r="E64" s="646"/>
      <c r="F64" s="646"/>
      <c r="G64" s="646"/>
      <c r="H64" s="646"/>
      <c r="I64" s="646"/>
      <c r="J64" s="646"/>
      <c r="K64" s="646"/>
      <c r="L64" s="646"/>
      <c r="M64" s="646"/>
      <c r="N64" s="646"/>
      <c r="O64" s="646"/>
    </row>
    <row r="65" spans="1:15" x14ac:dyDescent="0.25">
      <c r="A65" s="646"/>
      <c r="B65" s="646"/>
      <c r="C65" s="646"/>
      <c r="D65" s="646"/>
      <c r="E65" s="646"/>
      <c r="F65" s="646"/>
      <c r="G65" s="646"/>
      <c r="H65" s="646"/>
      <c r="I65" s="646"/>
      <c r="J65" s="646"/>
      <c r="K65" s="646"/>
      <c r="L65" s="646"/>
      <c r="M65" s="646"/>
      <c r="N65" s="646"/>
      <c r="O65" s="646"/>
    </row>
    <row r="66" spans="1:15" x14ac:dyDescent="0.25">
      <c r="A66" s="646"/>
      <c r="B66" s="646"/>
      <c r="C66" s="646"/>
      <c r="D66" s="646"/>
      <c r="E66" s="646"/>
      <c r="F66" s="646"/>
      <c r="G66" s="646"/>
      <c r="H66" s="646"/>
      <c r="I66" s="646"/>
      <c r="J66" s="646"/>
      <c r="K66" s="646"/>
      <c r="L66" s="646"/>
      <c r="M66" s="646"/>
      <c r="N66" s="646"/>
      <c r="O66" s="646"/>
    </row>
  </sheetData>
  <mergeCells count="5">
    <mergeCell ref="A8:P8"/>
    <mergeCell ref="A9:P9"/>
    <mergeCell ref="A64:O66"/>
    <mergeCell ref="A49:O55"/>
    <mergeCell ref="A57:O63"/>
  </mergeCells>
  <hyperlinks>
    <hyperlink ref="D47" r:id="rId1"/>
    <hyperlink ref="E46"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7">
    <tabColor theme="1" tint="0.499984740745262"/>
  </sheetPr>
  <dimension ref="A1:S44"/>
  <sheetViews>
    <sheetView zoomScale="85" zoomScaleNormal="85" workbookViewId="0"/>
  </sheetViews>
  <sheetFormatPr defaultColWidth="9.140625" defaultRowHeight="15" x14ac:dyDescent="0.25"/>
  <cols>
    <col min="1" max="3" width="9.140625" style="257"/>
    <col min="4" max="4" width="11.42578125" style="257" customWidth="1"/>
    <col min="5" max="13" width="9.140625" style="257"/>
    <col min="14" max="15" width="9.140625" style="257" customWidth="1"/>
    <col min="16" max="16" width="13.140625" style="257" customWidth="1"/>
    <col min="17" max="16384" width="9.140625" style="257"/>
  </cols>
  <sheetData>
    <row r="1" spans="1:16" ht="19.899999999999999" customHeight="1" x14ac:dyDescent="0.3"/>
    <row r="8" spans="1:16" ht="23.45" x14ac:dyDescent="0.45">
      <c r="A8" s="644" t="s">
        <v>262</v>
      </c>
      <c r="B8" s="644"/>
      <c r="C8" s="644"/>
      <c r="D8" s="644"/>
      <c r="E8" s="644"/>
      <c r="F8" s="644"/>
      <c r="G8" s="644"/>
      <c r="H8" s="644"/>
      <c r="I8" s="644"/>
      <c r="J8" s="644"/>
      <c r="K8" s="644"/>
      <c r="L8" s="644"/>
      <c r="M8" s="644"/>
      <c r="N8" s="644"/>
      <c r="O8" s="644"/>
      <c r="P8" s="644"/>
    </row>
    <row r="9" spans="1:16" ht="14.45" x14ac:dyDescent="0.3">
      <c r="A9" s="645" t="s">
        <v>308</v>
      </c>
      <c r="B9" s="645"/>
      <c r="C9" s="645"/>
      <c r="D9" s="645"/>
      <c r="E9" s="645"/>
      <c r="F9" s="645"/>
      <c r="G9" s="645"/>
      <c r="H9" s="645"/>
      <c r="I9" s="645"/>
      <c r="J9" s="645"/>
      <c r="K9" s="645"/>
      <c r="L9" s="645"/>
      <c r="M9" s="645"/>
      <c r="N9" s="645"/>
      <c r="O9" s="645"/>
      <c r="P9" s="645"/>
    </row>
    <row r="10" spans="1:16" ht="14.45" customHeight="1" x14ac:dyDescent="0.3">
      <c r="A10" s="252"/>
      <c r="B10" s="252"/>
      <c r="C10" s="252"/>
      <c r="D10" s="252"/>
      <c r="E10" s="252"/>
      <c r="F10" s="252"/>
      <c r="G10" s="252"/>
      <c r="H10" s="252"/>
      <c r="I10" s="252"/>
      <c r="J10" s="252"/>
      <c r="K10" s="252"/>
      <c r="L10" s="252"/>
      <c r="M10" s="252"/>
      <c r="N10" s="252"/>
      <c r="O10" s="252"/>
      <c r="P10" s="252"/>
    </row>
    <row r="11" spans="1:16" ht="15.75" customHeight="1" x14ac:dyDescent="0.25">
      <c r="A11" s="252"/>
      <c r="B11" s="252"/>
      <c r="C11" s="252"/>
      <c r="D11" s="252"/>
      <c r="E11" s="252"/>
      <c r="F11" s="252"/>
      <c r="G11" s="252"/>
      <c r="H11" s="252"/>
      <c r="I11" s="252"/>
      <c r="J11" s="252"/>
      <c r="K11" s="252"/>
      <c r="L11" s="252"/>
      <c r="M11" s="252"/>
      <c r="N11" s="252"/>
      <c r="O11" s="252"/>
      <c r="P11" s="252"/>
    </row>
    <row r="12" spans="1:16" ht="15.6" customHeight="1" x14ac:dyDescent="0.25">
      <c r="A12" s="252"/>
      <c r="B12" s="252"/>
      <c r="C12" s="252"/>
      <c r="D12" s="252"/>
      <c r="E12" s="252"/>
      <c r="F12" s="252"/>
      <c r="G12" s="252"/>
      <c r="H12" s="252"/>
      <c r="I12" s="252"/>
      <c r="J12" s="252"/>
      <c r="K12" s="252"/>
      <c r="L12" s="252"/>
      <c r="M12" s="252"/>
      <c r="N12" s="252"/>
      <c r="O12" s="252"/>
      <c r="P12" s="252"/>
    </row>
    <row r="13" spans="1:16" ht="31.5" customHeight="1" x14ac:dyDescent="0.25">
      <c r="A13" s="252"/>
      <c r="B13" s="252"/>
      <c r="C13" s="252"/>
      <c r="D13" s="252"/>
      <c r="E13" s="252"/>
      <c r="F13" s="252"/>
      <c r="G13" s="252"/>
      <c r="H13" s="252"/>
      <c r="I13" s="252"/>
      <c r="J13" s="252"/>
      <c r="K13" s="252"/>
      <c r="L13" s="252"/>
      <c r="M13" s="252"/>
      <c r="N13" s="252"/>
      <c r="O13" s="252"/>
      <c r="P13" s="252"/>
    </row>
    <row r="14" spans="1:16" ht="15" customHeight="1" x14ac:dyDescent="0.25">
      <c r="A14" s="252"/>
      <c r="B14" s="252"/>
      <c r="C14" s="252"/>
      <c r="D14" s="252"/>
      <c r="E14" s="252"/>
      <c r="F14" s="252"/>
      <c r="G14" s="252"/>
      <c r="H14" s="252"/>
      <c r="I14" s="252"/>
      <c r="J14" s="252"/>
      <c r="K14" s="252"/>
      <c r="L14" s="252"/>
      <c r="M14" s="252"/>
      <c r="N14" s="252"/>
      <c r="O14" s="252"/>
      <c r="P14" s="252"/>
    </row>
    <row r="15" spans="1:16" ht="15.75" customHeight="1" x14ac:dyDescent="0.25">
      <c r="A15" s="252"/>
      <c r="B15" s="252"/>
      <c r="C15" s="252"/>
      <c r="D15" s="252"/>
      <c r="E15" s="252"/>
      <c r="F15" s="252"/>
      <c r="G15" s="252"/>
      <c r="H15" s="252"/>
      <c r="I15" s="252"/>
      <c r="J15" s="252"/>
      <c r="K15" s="252"/>
      <c r="L15" s="252"/>
      <c r="M15" s="252"/>
      <c r="N15" s="252"/>
      <c r="O15" s="252"/>
      <c r="P15" s="252"/>
    </row>
    <row r="16" spans="1:16" ht="15.6" customHeight="1" x14ac:dyDescent="0.25">
      <c r="A16" s="252"/>
      <c r="B16" s="252"/>
      <c r="C16" s="252"/>
      <c r="D16" s="252"/>
      <c r="E16" s="252"/>
      <c r="F16" s="252"/>
      <c r="G16" s="252"/>
      <c r="H16" s="252"/>
      <c r="I16" s="252"/>
      <c r="J16" s="252"/>
      <c r="K16" s="252"/>
      <c r="L16" s="252"/>
      <c r="M16" s="252"/>
      <c r="N16" s="252"/>
      <c r="O16" s="252"/>
      <c r="P16" s="252"/>
    </row>
    <row r="17" spans="1:19" ht="15" customHeight="1" x14ac:dyDescent="0.25">
      <c r="A17" s="252"/>
      <c r="B17" s="252"/>
      <c r="C17" s="252"/>
      <c r="D17" s="252"/>
      <c r="E17" s="252"/>
      <c r="F17" s="252"/>
      <c r="G17" s="252"/>
      <c r="H17" s="252"/>
      <c r="I17" s="252"/>
      <c r="J17" s="252"/>
      <c r="K17" s="252"/>
      <c r="L17" s="252"/>
      <c r="M17" s="252"/>
      <c r="N17" s="252"/>
      <c r="O17" s="252"/>
      <c r="P17" s="252"/>
      <c r="S17" s="3"/>
    </row>
    <row r="18" spans="1:19" x14ac:dyDescent="0.25">
      <c r="A18" s="252"/>
      <c r="B18" s="252"/>
      <c r="C18" s="252"/>
      <c r="D18" s="252"/>
      <c r="E18" s="252"/>
      <c r="F18" s="252"/>
      <c r="G18" s="252"/>
      <c r="H18" s="252"/>
      <c r="I18" s="252"/>
      <c r="J18" s="252"/>
      <c r="K18" s="252"/>
      <c r="L18" s="252"/>
      <c r="M18" s="252"/>
      <c r="N18" s="252"/>
      <c r="O18" s="252"/>
      <c r="P18" s="252"/>
    </row>
    <row r="19" spans="1:19" x14ac:dyDescent="0.25">
      <c r="A19" s="252"/>
      <c r="B19" s="252"/>
      <c r="C19" s="252"/>
      <c r="D19" s="252"/>
      <c r="E19" s="252"/>
      <c r="F19" s="252"/>
      <c r="G19" s="252"/>
      <c r="H19" s="252"/>
      <c r="I19" s="252"/>
      <c r="J19" s="252"/>
      <c r="K19" s="252"/>
      <c r="L19" s="252"/>
      <c r="M19" s="252"/>
      <c r="N19" s="252"/>
      <c r="O19" s="252"/>
      <c r="P19" s="252"/>
    </row>
    <row r="20" spans="1:19" x14ac:dyDescent="0.25">
      <c r="A20" s="252"/>
      <c r="B20" s="252"/>
      <c r="C20" s="252"/>
      <c r="D20" s="252"/>
      <c r="E20" s="252"/>
      <c r="F20" s="252"/>
      <c r="G20" s="252"/>
      <c r="H20" s="252"/>
      <c r="I20" s="252"/>
      <c r="J20" s="252"/>
      <c r="K20" s="252"/>
      <c r="L20" s="252"/>
      <c r="M20" s="252"/>
      <c r="N20" s="252"/>
      <c r="O20" s="252"/>
      <c r="P20" s="252"/>
    </row>
    <row r="21" spans="1:19" x14ac:dyDescent="0.25">
      <c r="A21" s="252"/>
      <c r="B21" s="252"/>
      <c r="C21" s="252"/>
      <c r="D21" s="252"/>
      <c r="E21" s="252"/>
      <c r="F21" s="252"/>
      <c r="G21" s="252"/>
      <c r="H21" s="252"/>
      <c r="I21" s="252"/>
      <c r="J21" s="252"/>
      <c r="K21" s="252"/>
      <c r="L21" s="252"/>
      <c r="M21" s="252"/>
      <c r="N21" s="252"/>
      <c r="O21" s="252"/>
      <c r="P21" s="252"/>
    </row>
    <row r="22" spans="1:19" x14ac:dyDescent="0.25">
      <c r="A22" s="252"/>
      <c r="B22" s="252"/>
      <c r="C22" s="252"/>
      <c r="D22" s="252"/>
      <c r="E22" s="252"/>
      <c r="F22" s="252"/>
      <c r="G22" s="252"/>
      <c r="H22" s="252"/>
      <c r="I22" s="252"/>
      <c r="J22" s="252"/>
      <c r="K22" s="252"/>
      <c r="L22" s="252"/>
      <c r="M22" s="252"/>
      <c r="N22" s="252"/>
      <c r="O22" s="252"/>
      <c r="P22" s="252"/>
    </row>
    <row r="23" spans="1:19" x14ac:dyDescent="0.25">
      <c r="A23" s="252"/>
      <c r="B23" s="252"/>
      <c r="C23" s="252"/>
      <c r="D23" s="252"/>
      <c r="E23" s="252"/>
      <c r="F23" s="252"/>
      <c r="G23" s="252"/>
      <c r="H23" s="252"/>
      <c r="I23" s="252"/>
      <c r="J23" s="252"/>
      <c r="K23" s="252"/>
      <c r="L23" s="252"/>
      <c r="M23" s="252"/>
      <c r="N23" s="252"/>
      <c r="O23" s="252"/>
      <c r="P23" s="252"/>
    </row>
    <row r="24" spans="1:19" x14ac:dyDescent="0.25">
      <c r="A24" s="252"/>
      <c r="B24" s="252"/>
      <c r="C24" s="252"/>
      <c r="D24" s="252"/>
      <c r="E24" s="252"/>
      <c r="F24" s="252"/>
      <c r="G24" s="252"/>
      <c r="H24" s="252"/>
      <c r="I24" s="252"/>
      <c r="J24" s="252"/>
      <c r="K24" s="252"/>
      <c r="L24" s="252"/>
      <c r="M24" s="252"/>
      <c r="N24" s="252"/>
      <c r="O24" s="252"/>
      <c r="P24" s="252"/>
    </row>
    <row r="25" spans="1:19" x14ac:dyDescent="0.25">
      <c r="A25" s="252"/>
      <c r="B25" s="252"/>
      <c r="C25" s="252"/>
      <c r="D25" s="252"/>
      <c r="E25" s="252"/>
      <c r="F25" s="252"/>
      <c r="G25" s="252"/>
      <c r="H25" s="252"/>
      <c r="I25" s="252"/>
      <c r="J25" s="252"/>
      <c r="K25" s="252"/>
      <c r="L25" s="252"/>
      <c r="M25" s="252"/>
      <c r="N25" s="252"/>
      <c r="O25" s="252"/>
      <c r="P25" s="252"/>
    </row>
    <row r="26" spans="1:19" x14ac:dyDescent="0.25">
      <c r="A26" s="252"/>
      <c r="B26" s="252"/>
      <c r="C26" s="252"/>
      <c r="D26" s="252"/>
      <c r="E26" s="252"/>
      <c r="F26" s="252"/>
      <c r="G26" s="252"/>
      <c r="H26" s="252"/>
      <c r="I26" s="252"/>
      <c r="J26" s="252"/>
      <c r="K26" s="252"/>
      <c r="L26" s="252"/>
      <c r="M26" s="252"/>
      <c r="N26" s="252"/>
      <c r="O26" s="252"/>
      <c r="P26" s="252"/>
    </row>
    <row r="27" spans="1:19" x14ac:dyDescent="0.25">
      <c r="A27" s="252"/>
      <c r="B27" s="252"/>
      <c r="C27" s="252"/>
      <c r="D27" s="252"/>
      <c r="E27" s="252"/>
      <c r="F27" s="252"/>
      <c r="G27" s="252"/>
      <c r="H27" s="252"/>
      <c r="I27" s="252"/>
      <c r="J27" s="252"/>
      <c r="K27" s="252"/>
      <c r="L27" s="252"/>
      <c r="M27" s="252"/>
      <c r="N27" s="252"/>
      <c r="O27" s="252"/>
      <c r="P27" s="252"/>
    </row>
    <row r="28" spans="1:19" x14ac:dyDescent="0.25">
      <c r="A28" s="252"/>
      <c r="B28" s="252"/>
      <c r="C28" s="252"/>
      <c r="D28" s="252"/>
      <c r="E28" s="252"/>
      <c r="F28" s="252"/>
      <c r="G28" s="252"/>
      <c r="H28" s="252"/>
      <c r="I28" s="252"/>
      <c r="J28" s="252"/>
      <c r="K28" s="252"/>
      <c r="L28" s="252"/>
      <c r="M28" s="252"/>
      <c r="N28" s="252"/>
      <c r="O28" s="252"/>
      <c r="P28" s="252"/>
    </row>
    <row r="29" spans="1:19" x14ac:dyDescent="0.25">
      <c r="A29" s="252"/>
      <c r="B29" s="252"/>
      <c r="C29" s="252"/>
      <c r="D29" s="252"/>
      <c r="E29" s="252"/>
      <c r="F29" s="252"/>
      <c r="G29" s="252"/>
      <c r="H29" s="252"/>
      <c r="I29" s="252"/>
      <c r="J29" s="252"/>
      <c r="K29" s="252"/>
      <c r="L29" s="252"/>
      <c r="M29" s="252"/>
      <c r="N29" s="252"/>
      <c r="O29" s="252"/>
      <c r="P29" s="252"/>
    </row>
    <row r="30" spans="1:19" x14ac:dyDescent="0.25">
      <c r="A30" s="252"/>
      <c r="B30" s="252"/>
      <c r="C30" s="252"/>
      <c r="D30" s="252"/>
      <c r="E30" s="252"/>
      <c r="F30" s="252"/>
      <c r="G30" s="252"/>
      <c r="H30" s="252"/>
      <c r="I30" s="252"/>
      <c r="J30" s="252"/>
      <c r="K30" s="252"/>
      <c r="L30" s="252"/>
      <c r="M30" s="252"/>
      <c r="N30" s="252"/>
      <c r="O30" s="252"/>
      <c r="P30" s="252"/>
    </row>
    <row r="31" spans="1:19" x14ac:dyDescent="0.25">
      <c r="A31" s="252"/>
      <c r="B31" s="252"/>
      <c r="C31" s="252"/>
      <c r="D31" s="252"/>
      <c r="E31" s="252"/>
      <c r="F31" s="252"/>
      <c r="G31" s="252"/>
      <c r="H31" s="252"/>
      <c r="I31" s="252"/>
      <c r="J31" s="252"/>
      <c r="K31" s="252"/>
      <c r="L31" s="252"/>
      <c r="M31" s="252"/>
      <c r="N31" s="252"/>
      <c r="O31" s="252"/>
      <c r="P31" s="252"/>
    </row>
    <row r="32" spans="1:19" x14ac:dyDescent="0.25">
      <c r="A32" s="252"/>
      <c r="B32" s="252"/>
      <c r="C32" s="252"/>
      <c r="D32" s="252"/>
      <c r="E32" s="252"/>
      <c r="F32" s="252"/>
      <c r="G32" s="252"/>
      <c r="H32" s="252"/>
      <c r="I32" s="252"/>
      <c r="J32" s="252"/>
      <c r="K32" s="252"/>
      <c r="L32" s="252"/>
      <c r="M32" s="252"/>
      <c r="N32" s="252"/>
      <c r="O32" s="252"/>
      <c r="P32" s="252"/>
    </row>
    <row r="33" spans="1:16" x14ac:dyDescent="0.25">
      <c r="A33" s="252"/>
      <c r="B33" s="252"/>
      <c r="C33" s="252"/>
      <c r="D33" s="252"/>
      <c r="E33" s="252"/>
      <c r="F33" s="252"/>
      <c r="G33" s="252"/>
      <c r="H33" s="252"/>
      <c r="I33" s="252"/>
      <c r="J33" s="252"/>
      <c r="K33" s="252"/>
      <c r="L33" s="252"/>
      <c r="M33" s="252"/>
      <c r="N33" s="252"/>
      <c r="O33" s="252"/>
      <c r="P33" s="252"/>
    </row>
    <row r="34" spans="1:16" x14ac:dyDescent="0.25">
      <c r="A34" s="252"/>
      <c r="B34" s="252"/>
      <c r="C34" s="252"/>
      <c r="D34" s="252"/>
      <c r="E34" s="252"/>
      <c r="F34" s="252"/>
      <c r="G34" s="252"/>
      <c r="H34" s="252"/>
      <c r="I34" s="252"/>
      <c r="J34" s="252"/>
      <c r="K34" s="252"/>
      <c r="L34" s="252"/>
      <c r="M34" s="252"/>
      <c r="N34" s="252"/>
      <c r="O34" s="252"/>
      <c r="P34" s="252"/>
    </row>
    <row r="35" spans="1:16" x14ac:dyDescent="0.25">
      <c r="A35" s="252"/>
      <c r="B35" s="252"/>
      <c r="C35" s="252"/>
      <c r="D35" s="252"/>
      <c r="E35" s="252"/>
      <c r="F35" s="252"/>
      <c r="G35" s="252"/>
      <c r="H35" s="252"/>
      <c r="I35" s="252"/>
      <c r="J35" s="252"/>
      <c r="K35" s="252"/>
      <c r="L35" s="252"/>
      <c r="M35" s="252"/>
      <c r="N35" s="252"/>
      <c r="O35" s="252"/>
      <c r="P35" s="252"/>
    </row>
    <row r="36" spans="1:16" x14ac:dyDescent="0.25">
      <c r="A36" s="252"/>
      <c r="B36" s="252"/>
      <c r="C36" s="252"/>
      <c r="D36" s="252"/>
      <c r="E36" s="252"/>
      <c r="F36" s="252"/>
      <c r="G36" s="252"/>
      <c r="H36" s="252"/>
      <c r="I36" s="252"/>
      <c r="J36" s="252"/>
      <c r="K36" s="252"/>
      <c r="L36" s="252"/>
      <c r="M36" s="252"/>
      <c r="N36" s="252"/>
      <c r="O36" s="252"/>
      <c r="P36" s="252"/>
    </row>
    <row r="37" spans="1:16" x14ac:dyDescent="0.25">
      <c r="A37" s="252"/>
      <c r="B37" s="252"/>
      <c r="C37" s="252"/>
      <c r="D37" s="252"/>
      <c r="E37" s="252"/>
      <c r="F37" s="252"/>
      <c r="G37" s="252"/>
      <c r="H37" s="252"/>
      <c r="I37" s="252"/>
      <c r="J37" s="252"/>
      <c r="K37" s="252"/>
      <c r="L37" s="252"/>
      <c r="M37" s="252"/>
      <c r="N37" s="252"/>
      <c r="O37" s="252"/>
      <c r="P37" s="252"/>
    </row>
    <row r="38" spans="1:16" x14ac:dyDescent="0.25">
      <c r="A38" s="252"/>
      <c r="B38" s="252"/>
      <c r="C38" s="252"/>
      <c r="D38" s="252"/>
      <c r="E38" s="252"/>
      <c r="F38" s="252"/>
      <c r="G38" s="252"/>
      <c r="H38" s="252"/>
      <c r="I38" s="252"/>
      <c r="J38" s="252"/>
      <c r="K38" s="252"/>
      <c r="L38" s="252"/>
      <c r="M38" s="252"/>
      <c r="N38" s="252"/>
      <c r="O38" s="252"/>
      <c r="P38" s="252"/>
    </row>
    <row r="39" spans="1:16" x14ac:dyDescent="0.25">
      <c r="A39" s="252"/>
      <c r="B39" s="252"/>
      <c r="C39" s="252"/>
      <c r="D39" s="252"/>
      <c r="E39" s="252"/>
      <c r="F39" s="252"/>
      <c r="G39" s="252"/>
      <c r="H39" s="252"/>
      <c r="I39" s="252"/>
      <c r="J39" s="252"/>
      <c r="K39" s="252"/>
      <c r="L39" s="252"/>
      <c r="M39" s="252"/>
      <c r="N39" s="252"/>
      <c r="O39" s="252"/>
      <c r="P39" s="252"/>
    </row>
    <row r="40" spans="1:16" x14ac:dyDescent="0.25">
      <c r="A40" s="252"/>
      <c r="B40" s="252"/>
      <c r="C40" s="252"/>
      <c r="D40" s="252"/>
      <c r="E40" s="252"/>
      <c r="F40" s="252"/>
      <c r="G40" s="252"/>
      <c r="H40" s="252"/>
      <c r="I40" s="252"/>
      <c r="J40" s="252"/>
      <c r="K40" s="252"/>
      <c r="L40" s="252"/>
      <c r="M40" s="252"/>
      <c r="N40" s="252"/>
      <c r="O40" s="252"/>
      <c r="P40" s="252"/>
    </row>
    <row r="41" spans="1:16" x14ac:dyDescent="0.25">
      <c r="A41" s="252"/>
      <c r="B41" s="252"/>
      <c r="C41" s="252"/>
      <c r="D41" s="252"/>
      <c r="E41" s="252"/>
      <c r="F41" s="252"/>
      <c r="G41" s="252"/>
      <c r="H41" s="252"/>
      <c r="I41" s="252"/>
      <c r="J41" s="252"/>
      <c r="K41" s="252"/>
      <c r="L41" s="252"/>
      <c r="M41" s="252"/>
      <c r="N41" s="252"/>
      <c r="O41" s="252"/>
      <c r="P41" s="252"/>
    </row>
    <row r="42" spans="1:16" x14ac:dyDescent="0.25">
      <c r="A42" s="252"/>
      <c r="B42" s="252"/>
      <c r="C42" s="252"/>
      <c r="D42" s="252"/>
      <c r="E42" s="252"/>
      <c r="F42" s="252"/>
      <c r="G42" s="252"/>
      <c r="H42" s="252"/>
      <c r="I42" s="252"/>
      <c r="J42" s="252"/>
      <c r="K42" s="252"/>
      <c r="L42" s="252"/>
      <c r="M42" s="252"/>
      <c r="N42" s="252"/>
      <c r="O42" s="252"/>
      <c r="P42" s="252"/>
    </row>
    <row r="43" spans="1:16" x14ac:dyDescent="0.25">
      <c r="A43" s="252"/>
      <c r="B43" s="252"/>
      <c r="C43" s="252"/>
      <c r="D43" s="252"/>
      <c r="E43" s="252"/>
      <c r="F43" s="252"/>
      <c r="G43" s="252"/>
      <c r="H43" s="252"/>
      <c r="I43" s="252"/>
      <c r="J43" s="252"/>
      <c r="K43" s="252"/>
      <c r="L43" s="252"/>
      <c r="M43" s="252"/>
      <c r="N43" s="252"/>
      <c r="O43" s="252"/>
      <c r="P43" s="252"/>
    </row>
    <row r="44" spans="1:16" x14ac:dyDescent="0.25">
      <c r="A44" s="252"/>
      <c r="B44" s="252"/>
      <c r="C44" s="252"/>
      <c r="D44" s="252"/>
      <c r="E44" s="252"/>
      <c r="F44" s="252"/>
      <c r="G44" s="252"/>
      <c r="H44" s="252"/>
      <c r="I44" s="252"/>
      <c r="J44" s="252"/>
      <c r="K44" s="252"/>
      <c r="L44" s="252"/>
      <c r="M44" s="252"/>
      <c r="N44" s="252"/>
      <c r="O44" s="252"/>
      <c r="P44" s="252"/>
    </row>
  </sheetData>
  <mergeCells count="2">
    <mergeCell ref="A8:P8"/>
    <mergeCell ref="A9:P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2">
    <tabColor rgb="FF002060"/>
  </sheetPr>
  <dimension ref="A1:AN140"/>
  <sheetViews>
    <sheetView zoomScale="70" zoomScaleNormal="70" workbookViewId="0">
      <selection activeCell="A30" sqref="A30:A32"/>
    </sheetView>
  </sheetViews>
  <sheetFormatPr defaultColWidth="9.140625" defaultRowHeight="15" x14ac:dyDescent="0.25"/>
  <cols>
    <col min="1" max="1" width="20.5703125" style="333" customWidth="1"/>
    <col min="2" max="2" width="4" style="333" customWidth="1"/>
    <col min="3" max="3" width="28.7109375" style="333" customWidth="1"/>
    <col min="4" max="4" width="23.28515625" style="333" customWidth="1"/>
    <col min="5" max="5" width="26.28515625" style="333" customWidth="1"/>
    <col min="6" max="6" width="23.5703125" style="333" bestFit="1" customWidth="1"/>
    <col min="7" max="7" width="34.85546875" style="333" customWidth="1"/>
    <col min="8" max="8" width="20.5703125" style="333" customWidth="1"/>
    <col min="9" max="9" width="20.85546875" style="377" bestFit="1" customWidth="1"/>
    <col min="10" max="10" width="21.7109375" style="377" bestFit="1" customWidth="1"/>
    <col min="11" max="11" width="19.7109375" style="333" hidden="1" customWidth="1"/>
    <col min="12" max="12" width="7.28515625" style="333" hidden="1" customWidth="1"/>
    <col min="13" max="13" width="14.5703125" style="333" bestFit="1" customWidth="1"/>
    <col min="14" max="14" width="25.42578125" style="333" customWidth="1"/>
    <col min="15" max="15" width="21.85546875" style="333" customWidth="1"/>
    <col min="16" max="16" width="16.85546875" style="333" customWidth="1"/>
    <col min="17" max="17" width="15.85546875" style="333" customWidth="1"/>
    <col min="18" max="36" width="20.5703125" style="333" customWidth="1"/>
    <col min="37" max="16384" width="9.140625" style="333"/>
  </cols>
  <sheetData>
    <row r="1" spans="1:16" x14ac:dyDescent="0.25">
      <c r="A1" s="690" t="s">
        <v>254</v>
      </c>
      <c r="B1" s="691"/>
      <c r="C1" s="691"/>
      <c r="D1" s="691"/>
      <c r="E1" s="691"/>
      <c r="F1" s="692"/>
      <c r="I1" s="334"/>
      <c r="J1" s="334"/>
      <c r="L1" s="345"/>
    </row>
    <row r="2" spans="1:16" x14ac:dyDescent="0.25">
      <c r="A2" s="693"/>
      <c r="B2" s="694"/>
      <c r="C2" s="694"/>
      <c r="D2" s="694"/>
      <c r="E2" s="694"/>
      <c r="F2" s="695"/>
      <c r="I2" s="334"/>
      <c r="J2" s="334"/>
    </row>
    <row r="3" spans="1:16" x14ac:dyDescent="0.25">
      <c r="A3" s="693"/>
      <c r="B3" s="694"/>
      <c r="C3" s="694"/>
      <c r="D3" s="694"/>
      <c r="E3" s="694"/>
      <c r="F3" s="695"/>
      <c r="I3" s="334"/>
      <c r="J3" s="334"/>
      <c r="P3" s="346"/>
    </row>
    <row r="4" spans="1:16" ht="15.75" thickBot="1" x14ac:dyDescent="0.3">
      <c r="A4" s="696"/>
      <c r="B4" s="697"/>
      <c r="C4" s="697"/>
      <c r="D4" s="697"/>
      <c r="E4" s="697"/>
      <c r="F4" s="698"/>
      <c r="I4" s="334"/>
      <c r="J4" s="334"/>
      <c r="K4" s="334"/>
    </row>
    <row r="5" spans="1:16" x14ac:dyDescent="0.25">
      <c r="A5" s="347"/>
      <c r="B5" s="347"/>
      <c r="C5" s="347"/>
      <c r="D5" s="348"/>
      <c r="E5" s="348"/>
      <c r="F5" s="348"/>
      <c r="I5" s="334"/>
      <c r="J5" s="334"/>
      <c r="K5" s="334"/>
    </row>
    <row r="6" spans="1:16" x14ac:dyDescent="0.25">
      <c r="A6" s="347"/>
      <c r="B6" s="347"/>
      <c r="C6" s="347"/>
      <c r="D6" s="348"/>
      <c r="E6" s="348"/>
      <c r="F6" s="348"/>
      <c r="I6" s="334"/>
      <c r="J6" s="334"/>
      <c r="K6" s="334"/>
    </row>
    <row r="7" spans="1:16" ht="21" x14ac:dyDescent="0.4">
      <c r="A7" s="347"/>
      <c r="C7" s="331" t="s">
        <v>195</v>
      </c>
      <c r="D7" s="348"/>
      <c r="E7" s="348"/>
      <c r="F7" s="348"/>
      <c r="I7" s="334"/>
      <c r="J7" s="334"/>
      <c r="K7" s="334"/>
    </row>
    <row r="8" spans="1:16" ht="15.75" thickBot="1" x14ac:dyDescent="0.3">
      <c r="A8" s="347"/>
      <c r="B8" s="347"/>
      <c r="C8" s="347"/>
      <c r="D8" s="348"/>
      <c r="E8" s="348"/>
      <c r="F8" s="348"/>
      <c r="I8" s="334"/>
      <c r="J8" s="334"/>
      <c r="K8" s="334"/>
    </row>
    <row r="9" spans="1:16" ht="15.75" thickBot="1" x14ac:dyDescent="0.3">
      <c r="A9" s="347"/>
      <c r="B9" s="349"/>
      <c r="C9" s="350"/>
      <c r="D9" s="351"/>
      <c r="E9" s="351"/>
      <c r="F9" s="351"/>
      <c r="G9" s="352"/>
      <c r="H9" s="352"/>
      <c r="I9" s="353"/>
      <c r="J9" s="334"/>
      <c r="K9" s="334"/>
    </row>
    <row r="10" spans="1:16" ht="15.75" thickBot="1" x14ac:dyDescent="0.3">
      <c r="A10" s="347"/>
      <c r="B10" s="354"/>
      <c r="C10" s="701" t="s">
        <v>196</v>
      </c>
      <c r="D10" s="702"/>
      <c r="E10" s="703"/>
      <c r="F10" s="355"/>
      <c r="G10" s="709" t="s">
        <v>112</v>
      </c>
      <c r="H10" s="710"/>
      <c r="I10" s="356"/>
      <c r="J10" s="334"/>
      <c r="K10" s="334"/>
    </row>
    <row r="11" spans="1:16" x14ac:dyDescent="0.25">
      <c r="A11" s="636" t="s">
        <v>348</v>
      </c>
      <c r="B11" s="354"/>
      <c r="C11" s="699" t="s">
        <v>207</v>
      </c>
      <c r="D11" s="700"/>
      <c r="E11" s="611" t="s">
        <v>259</v>
      </c>
      <c r="F11" s="638" t="s">
        <v>329</v>
      </c>
      <c r="G11" s="275" t="s">
        <v>84</v>
      </c>
      <c r="H11" s="269" t="str">
        <f>Dashboard!C10</f>
        <v>N/A</v>
      </c>
      <c r="I11" s="356"/>
      <c r="J11" s="334"/>
      <c r="K11" s="334"/>
    </row>
    <row r="12" spans="1:16" x14ac:dyDescent="0.25">
      <c r="A12" s="637">
        <f>Community_Solar_Business_Case!E144</f>
        <v>0</v>
      </c>
      <c r="B12" s="354"/>
      <c r="C12" s="704" t="str">
        <f>IF(E11="Panel Purchasing","Residential Panel Purchase Price:",IF(E11="Panel Leasing","Monthly Residential Panel Lease Price:"))</f>
        <v>Monthly Residential Panel Lease Price:</v>
      </c>
      <c r="D12" s="705"/>
      <c r="E12" s="635">
        <v>1.38</v>
      </c>
      <c r="F12" s="639">
        <f>(Community_Solar_Business_Case!F127+Community_Solar_Business_Case!F118)/-Community_Solar_Business_Case!F118</f>
        <v>0.20182870917624118</v>
      </c>
      <c r="G12" s="275" t="s">
        <v>85</v>
      </c>
      <c r="H12" s="270">
        <f>Dashboard!C11</f>
        <v>1.38</v>
      </c>
      <c r="I12" s="356"/>
      <c r="J12" s="334"/>
      <c r="K12" s="334"/>
    </row>
    <row r="13" spans="1:16" ht="15.75" thickBot="1" x14ac:dyDescent="0.3">
      <c r="A13" s="637">
        <f>Community_Solar_Business_Case!E109</f>
        <v>0</v>
      </c>
      <c r="B13" s="354"/>
      <c r="C13" s="647" t="str">
        <f>IF(E11="Panel Purchasing","Anchor Panel Purchase Price:",IF(E11="Panel Leasing","Monthly Anchor Panel Lease Price:"))</f>
        <v>Monthly Anchor Panel Lease Price:</v>
      </c>
      <c r="D13" s="648"/>
      <c r="E13" s="602">
        <v>0.98</v>
      </c>
      <c r="F13" s="639">
        <f>(Community_Solar_Business_Case!F91+Community_Solar_Business_Case!F82)/-Community_Solar_Business_Case!F82</f>
        <v>0.20343328689209797</v>
      </c>
      <c r="G13" s="273" t="s">
        <v>194</v>
      </c>
      <c r="H13" s="269">
        <f>Dashboard!F17</f>
        <v>2805.7231297289054</v>
      </c>
      <c r="I13" s="356"/>
      <c r="J13" s="334"/>
      <c r="K13" s="334"/>
    </row>
    <row r="14" spans="1:16" ht="15.75" thickBot="1" x14ac:dyDescent="0.3">
      <c r="A14" s="347"/>
      <c r="B14" s="354"/>
      <c r="C14" s="357"/>
      <c r="D14" s="355"/>
      <c r="E14" s="355"/>
      <c r="F14" s="355"/>
      <c r="G14" s="397" t="s">
        <v>108</v>
      </c>
      <c r="H14" s="269">
        <f>Dashboard!D17</f>
        <v>404122.22435043496</v>
      </c>
      <c r="I14" s="356"/>
      <c r="J14" s="334"/>
      <c r="K14" s="334"/>
    </row>
    <row r="15" spans="1:16" ht="15.75" thickBot="1" x14ac:dyDescent="0.3">
      <c r="A15" s="347"/>
      <c r="B15" s="354"/>
      <c r="C15" s="706" t="s">
        <v>197</v>
      </c>
      <c r="D15" s="707"/>
      <c r="E15" s="708"/>
      <c r="F15" s="355"/>
      <c r="G15" s="273" t="s">
        <v>81</v>
      </c>
      <c r="H15" s="640">
        <f>Dashboard!C9</f>
        <v>0.16138979701593636</v>
      </c>
      <c r="I15" s="356"/>
      <c r="J15" s="334"/>
      <c r="K15" s="334"/>
    </row>
    <row r="16" spans="1:16" x14ac:dyDescent="0.25">
      <c r="A16" s="347"/>
      <c r="B16" s="354"/>
      <c r="C16" s="658" t="s">
        <v>289</v>
      </c>
      <c r="D16" s="659"/>
      <c r="E16" s="258" t="s">
        <v>301</v>
      </c>
      <c r="F16" s="355"/>
      <c r="G16" s="273" t="s">
        <v>260</v>
      </c>
      <c r="H16" s="274">
        <f>Community_Solar_Business_Case!E72</f>
        <v>9.0695912764743536E-2</v>
      </c>
      <c r="I16" s="356"/>
      <c r="J16" s="334"/>
      <c r="K16" s="334"/>
    </row>
    <row r="17" spans="1:17" ht="15.75" thickBot="1" x14ac:dyDescent="0.3">
      <c r="A17" s="347"/>
      <c r="B17" s="354"/>
      <c r="C17" s="660" t="s">
        <v>288</v>
      </c>
      <c r="D17" s="661"/>
      <c r="E17" s="258" t="s">
        <v>302</v>
      </c>
      <c r="F17" s="355"/>
      <c r="G17" s="398" t="s">
        <v>261</v>
      </c>
      <c r="H17" s="399">
        <f>Community_Solar_Business_Case!E73</f>
        <v>0.32884249986577391</v>
      </c>
      <c r="I17" s="356"/>
      <c r="J17" s="334"/>
      <c r="K17" s="334"/>
    </row>
    <row r="18" spans="1:17" x14ac:dyDescent="0.25">
      <c r="A18" s="347"/>
      <c r="B18" s="354"/>
      <c r="C18" s="660" t="s">
        <v>34</v>
      </c>
      <c r="D18" s="661"/>
      <c r="E18" s="599">
        <v>1410</v>
      </c>
      <c r="F18" s="355"/>
      <c r="G18" s="308" t="s">
        <v>113</v>
      </c>
      <c r="H18" s="309"/>
      <c r="I18" s="356"/>
      <c r="J18" s="334"/>
      <c r="K18" s="334"/>
    </row>
    <row r="19" spans="1:17" x14ac:dyDescent="0.25">
      <c r="A19" s="347"/>
      <c r="B19" s="354"/>
      <c r="C19" s="660" t="s">
        <v>44</v>
      </c>
      <c r="D19" s="661"/>
      <c r="E19" s="599">
        <v>310</v>
      </c>
      <c r="F19" s="355"/>
      <c r="G19" s="309"/>
      <c r="H19" s="309"/>
      <c r="I19" s="356"/>
      <c r="J19" s="334"/>
      <c r="K19" s="334"/>
    </row>
    <row r="20" spans="1:17" x14ac:dyDescent="0.25">
      <c r="A20" s="347"/>
      <c r="B20" s="354"/>
      <c r="C20" s="668" t="s">
        <v>99</v>
      </c>
      <c r="D20" s="673"/>
      <c r="E20" s="610" t="s">
        <v>309</v>
      </c>
      <c r="F20" s="355"/>
      <c r="G20" s="309"/>
      <c r="H20" s="309"/>
      <c r="I20" s="356"/>
      <c r="J20" s="334"/>
      <c r="K20" s="334"/>
    </row>
    <row r="21" spans="1:17" x14ac:dyDescent="0.25">
      <c r="A21" s="347"/>
      <c r="B21" s="354"/>
      <c r="C21" s="668" t="s">
        <v>104</v>
      </c>
      <c r="D21" s="673"/>
      <c r="E21" s="610" t="s">
        <v>107</v>
      </c>
      <c r="F21" s="355"/>
      <c r="G21" s="309"/>
      <c r="H21" s="309"/>
      <c r="I21" s="356"/>
      <c r="J21" s="334"/>
      <c r="K21" s="334"/>
    </row>
    <row r="22" spans="1:17" x14ac:dyDescent="0.25">
      <c r="A22" s="347"/>
      <c r="B22" s="354"/>
      <c r="C22" s="668" t="s">
        <v>73</v>
      </c>
      <c r="D22" s="673"/>
      <c r="E22" s="600">
        <v>20</v>
      </c>
      <c r="F22" s="355"/>
      <c r="G22" s="309"/>
      <c r="H22" s="309"/>
      <c r="I22" s="356"/>
      <c r="J22" s="334"/>
      <c r="K22" s="334"/>
    </row>
    <row r="23" spans="1:17" ht="15.75" thickBot="1" x14ac:dyDescent="0.3">
      <c r="A23" s="347"/>
      <c r="B23" s="354"/>
      <c r="C23" s="664" t="s">
        <v>105</v>
      </c>
      <c r="D23" s="665"/>
      <c r="E23" s="601">
        <v>1</v>
      </c>
      <c r="F23" s="355"/>
      <c r="G23" s="681"/>
      <c r="H23" s="681"/>
      <c r="I23" s="682"/>
      <c r="J23" s="334"/>
      <c r="K23" s="334"/>
    </row>
    <row r="24" spans="1:17" x14ac:dyDescent="0.25">
      <c r="A24" s="347"/>
      <c r="B24" s="354"/>
      <c r="C24" s="358"/>
      <c r="D24" s="358"/>
      <c r="E24" s="359"/>
      <c r="F24" s="355"/>
      <c r="G24" s="681"/>
      <c r="H24" s="681"/>
      <c r="I24" s="682"/>
      <c r="J24" s="334"/>
      <c r="K24" s="334"/>
    </row>
    <row r="25" spans="1:17" ht="15.75" thickBot="1" x14ac:dyDescent="0.3">
      <c r="A25" s="347"/>
      <c r="B25" s="360"/>
      <c r="C25" s="361"/>
      <c r="D25" s="362"/>
      <c r="E25" s="362"/>
      <c r="F25" s="362"/>
      <c r="G25" s="283"/>
      <c r="H25" s="401"/>
      <c r="I25" s="284"/>
      <c r="J25" s="363"/>
      <c r="K25" s="334"/>
    </row>
    <row r="26" spans="1:17" x14ac:dyDescent="0.25">
      <c r="A26" s="347"/>
      <c r="B26" s="347"/>
      <c r="C26" s="347"/>
      <c r="D26" s="348"/>
      <c r="E26" s="348"/>
      <c r="F26" s="348"/>
      <c r="H26" s="364"/>
      <c r="I26" s="334"/>
      <c r="J26" s="334"/>
      <c r="K26" s="334"/>
    </row>
    <row r="27" spans="1:17" ht="21" x14ac:dyDescent="0.35">
      <c r="B27" s="331"/>
      <c r="C27" s="331" t="s">
        <v>257</v>
      </c>
      <c r="G27" s="331" t="s">
        <v>126</v>
      </c>
      <c r="H27" s="331"/>
      <c r="I27" s="333"/>
      <c r="J27" s="333"/>
      <c r="N27" s="365" t="s">
        <v>313</v>
      </c>
    </row>
    <row r="28" spans="1:17" ht="15.75" thickBot="1" x14ac:dyDescent="0.3">
      <c r="G28" s="365"/>
      <c r="H28" s="365"/>
      <c r="I28" s="335"/>
      <c r="J28" s="335"/>
      <c r="K28" s="326"/>
      <c r="L28" s="326"/>
      <c r="M28" s="326"/>
      <c r="N28" s="326"/>
    </row>
    <row r="29" spans="1:17" s="326" customFormat="1" x14ac:dyDescent="0.25">
      <c r="C29" s="670" t="s">
        <v>62</v>
      </c>
      <c r="D29" s="683"/>
      <c r="E29" s="672"/>
      <c r="G29" s="656" t="s">
        <v>74</v>
      </c>
      <c r="H29" s="657"/>
      <c r="I29" s="289" t="s">
        <v>75</v>
      </c>
      <c r="J29" s="290" t="s">
        <v>255</v>
      </c>
      <c r="K29" s="366" t="s">
        <v>189</v>
      </c>
      <c r="L29" s="290" t="s">
        <v>37</v>
      </c>
      <c r="N29" s="596" t="s">
        <v>309</v>
      </c>
      <c r="O29" s="596" t="s">
        <v>311</v>
      </c>
      <c r="P29" s="596" t="s">
        <v>312</v>
      </c>
      <c r="Q29" s="596" t="s">
        <v>310</v>
      </c>
    </row>
    <row r="30" spans="1:17" s="326" customFormat="1" x14ac:dyDescent="0.25">
      <c r="A30" s="711"/>
      <c r="B30" s="367"/>
      <c r="C30" s="660" t="s">
        <v>109</v>
      </c>
      <c r="D30" s="687"/>
      <c r="E30" s="396">
        <v>0.13132657810716325</v>
      </c>
      <c r="G30" s="649" t="s">
        <v>265</v>
      </c>
      <c r="H30" s="650"/>
      <c r="I30" s="276" t="s">
        <v>252</v>
      </c>
      <c r="J30" s="606">
        <v>0.45</v>
      </c>
      <c r="K30" s="368">
        <f t="shared" ref="K30:K39" si="0">J30*$E$18*1000</f>
        <v>634500</v>
      </c>
      <c r="L30" s="270">
        <f>J30</f>
        <v>0.45</v>
      </c>
      <c r="N30" s="612">
        <v>0.45</v>
      </c>
      <c r="O30" s="612">
        <v>0.45</v>
      </c>
      <c r="P30" s="612">
        <v>0.5</v>
      </c>
      <c r="Q30" s="612">
        <v>0.45</v>
      </c>
    </row>
    <row r="31" spans="1:17" s="326" customFormat="1" x14ac:dyDescent="0.25">
      <c r="A31" s="711"/>
      <c r="B31" s="367"/>
      <c r="C31" s="660" t="s">
        <v>286</v>
      </c>
      <c r="D31" s="687"/>
      <c r="E31" s="260">
        <v>18.3</v>
      </c>
      <c r="G31" s="649" t="s">
        <v>266</v>
      </c>
      <c r="H31" s="650"/>
      <c r="I31" s="276" t="s">
        <v>21</v>
      </c>
      <c r="J31" s="606">
        <v>0.13</v>
      </c>
      <c r="K31" s="368">
        <f t="shared" si="0"/>
        <v>183300</v>
      </c>
      <c r="L31" s="270">
        <f t="shared" ref="L31:L39" si="1">J31</f>
        <v>0.13</v>
      </c>
      <c r="N31" s="612">
        <v>0.13</v>
      </c>
      <c r="O31" s="612">
        <v>0.13</v>
      </c>
      <c r="P31" s="612">
        <v>0.13</v>
      </c>
      <c r="Q31" s="612">
        <v>0.13</v>
      </c>
    </row>
    <row r="32" spans="1:17" s="326" customFormat="1" x14ac:dyDescent="0.25">
      <c r="A32" s="711"/>
      <c r="B32" s="367"/>
      <c r="C32" s="660" t="s">
        <v>287</v>
      </c>
      <c r="D32" s="687"/>
      <c r="E32" s="260">
        <v>99</v>
      </c>
      <c r="G32" s="649" t="s">
        <v>267</v>
      </c>
      <c r="H32" s="650"/>
      <c r="I32" s="276" t="s">
        <v>21</v>
      </c>
      <c r="J32" s="606">
        <v>0.15</v>
      </c>
      <c r="K32" s="368">
        <f t="shared" si="0"/>
        <v>211500</v>
      </c>
      <c r="L32" s="270">
        <f t="shared" si="1"/>
        <v>0.15</v>
      </c>
      <c r="N32" s="612">
        <v>0.15</v>
      </c>
      <c r="O32" s="612">
        <v>0.35</v>
      </c>
      <c r="P32" s="612">
        <v>0.5</v>
      </c>
      <c r="Q32" s="612">
        <v>1</v>
      </c>
    </row>
    <row r="33" spans="1:17" s="326" customFormat="1" x14ac:dyDescent="0.25">
      <c r="A33" s="369"/>
      <c r="B33" s="369"/>
      <c r="C33" s="660" t="s">
        <v>251</v>
      </c>
      <c r="D33" s="687"/>
      <c r="E33" s="449">
        <f>E50</f>
        <v>3.500000000000001E-2</v>
      </c>
      <c r="G33" s="649" t="s">
        <v>268</v>
      </c>
      <c r="H33" s="650"/>
      <c r="I33" s="276" t="s">
        <v>21</v>
      </c>
      <c r="J33" s="606">
        <v>0.1</v>
      </c>
      <c r="K33" s="368">
        <f t="shared" si="0"/>
        <v>141000</v>
      </c>
      <c r="L33" s="270">
        <f t="shared" si="1"/>
        <v>0.1</v>
      </c>
      <c r="N33" s="612">
        <v>0.1</v>
      </c>
      <c r="O33" s="612">
        <v>0.1</v>
      </c>
      <c r="P33" s="612">
        <v>0.1</v>
      </c>
      <c r="Q33" s="612">
        <v>0.1</v>
      </c>
    </row>
    <row r="34" spans="1:17" s="326" customFormat="1" x14ac:dyDescent="0.25">
      <c r="A34" s="328"/>
      <c r="C34" s="660" t="s">
        <v>110</v>
      </c>
      <c r="D34" s="687"/>
      <c r="E34" s="261">
        <v>5.0000000000000001E-3</v>
      </c>
      <c r="G34" s="649" t="s">
        <v>269</v>
      </c>
      <c r="H34" s="650"/>
      <c r="I34" s="276" t="s">
        <v>21</v>
      </c>
      <c r="J34" s="606">
        <v>0.02</v>
      </c>
      <c r="K34" s="368">
        <f t="shared" si="0"/>
        <v>28200</v>
      </c>
      <c r="L34" s="270">
        <f t="shared" si="1"/>
        <v>0.02</v>
      </c>
      <c r="N34" s="612">
        <v>0.02</v>
      </c>
      <c r="O34" s="612">
        <v>0.02</v>
      </c>
      <c r="P34" s="612">
        <v>0.02</v>
      </c>
      <c r="Q34" s="612">
        <v>0.02</v>
      </c>
    </row>
    <row r="35" spans="1:17" s="326" customFormat="1" ht="15.75" thickBot="1" x14ac:dyDescent="0.3">
      <c r="C35" s="688" t="s">
        <v>45</v>
      </c>
      <c r="D35" s="689"/>
      <c r="E35" s="450">
        <f>E18*1000/E19</f>
        <v>4548.3870967741932</v>
      </c>
      <c r="F35" s="624"/>
      <c r="G35" s="649" t="s">
        <v>270</v>
      </c>
      <c r="H35" s="650"/>
      <c r="I35" s="276" t="s">
        <v>21</v>
      </c>
      <c r="J35" s="606">
        <v>0.1</v>
      </c>
      <c r="K35" s="368">
        <f t="shared" si="0"/>
        <v>141000</v>
      </c>
      <c r="L35" s="270">
        <f t="shared" si="1"/>
        <v>0.1</v>
      </c>
      <c r="N35" s="612">
        <v>0.1</v>
      </c>
      <c r="O35" s="612">
        <v>0.1</v>
      </c>
      <c r="P35" s="612">
        <v>0.1</v>
      </c>
      <c r="Q35" s="612">
        <v>0.1</v>
      </c>
    </row>
    <row r="36" spans="1:17" s="326" customFormat="1" ht="15.75" thickBot="1" x14ac:dyDescent="0.3">
      <c r="G36" s="649" t="s">
        <v>271</v>
      </c>
      <c r="H36" s="650"/>
      <c r="I36" s="276" t="s">
        <v>21</v>
      </c>
      <c r="J36" s="606">
        <v>0.4</v>
      </c>
      <c r="K36" s="368">
        <f t="shared" si="0"/>
        <v>564000</v>
      </c>
      <c r="L36" s="270">
        <f t="shared" si="1"/>
        <v>0.4</v>
      </c>
      <c r="N36" s="612">
        <v>0.4</v>
      </c>
      <c r="O36" s="612">
        <v>0.4</v>
      </c>
      <c r="P36" s="612">
        <v>0.4</v>
      </c>
      <c r="Q36" s="612">
        <v>0.4</v>
      </c>
    </row>
    <row r="37" spans="1:17" s="326" customFormat="1" ht="32.25" customHeight="1" x14ac:dyDescent="0.25">
      <c r="C37" s="631" t="s">
        <v>341</v>
      </c>
      <c r="D37" s="629" t="s">
        <v>342</v>
      </c>
      <c r="E37" s="630" t="s">
        <v>343</v>
      </c>
      <c r="G37" s="649" t="s">
        <v>272</v>
      </c>
      <c r="H37" s="650"/>
      <c r="I37" s="276" t="s">
        <v>21</v>
      </c>
      <c r="J37" s="606">
        <v>0.03</v>
      </c>
      <c r="K37" s="368">
        <f t="shared" si="0"/>
        <v>42300</v>
      </c>
      <c r="L37" s="270">
        <f t="shared" si="1"/>
        <v>0.03</v>
      </c>
      <c r="N37" s="612">
        <v>0.03</v>
      </c>
      <c r="O37" s="612">
        <v>0.03</v>
      </c>
      <c r="P37" s="612">
        <v>0.03</v>
      </c>
      <c r="Q37" s="612">
        <v>0.03</v>
      </c>
    </row>
    <row r="38" spans="1:17" s="326" customFormat="1" ht="15.75" thickBot="1" x14ac:dyDescent="0.3">
      <c r="C38" s="271" t="s">
        <v>46</v>
      </c>
      <c r="D38" s="621">
        <v>5.8700000000000002E-2</v>
      </c>
      <c r="E38" s="621">
        <v>3.5000000000000003E-2</v>
      </c>
      <c r="G38" s="651" t="s">
        <v>273</v>
      </c>
      <c r="H38" s="652"/>
      <c r="I38" s="431" t="s">
        <v>21</v>
      </c>
      <c r="J38" s="607">
        <v>0.4</v>
      </c>
      <c r="K38" s="368">
        <f t="shared" si="0"/>
        <v>564000</v>
      </c>
      <c r="L38" s="270">
        <f t="shared" si="1"/>
        <v>0.4</v>
      </c>
      <c r="N38" s="613">
        <v>0.4</v>
      </c>
      <c r="O38" s="613">
        <v>0.4</v>
      </c>
      <c r="P38" s="613">
        <v>0.4</v>
      </c>
      <c r="Q38" s="613">
        <v>0.4</v>
      </c>
    </row>
    <row r="39" spans="1:17" s="326" customFormat="1" ht="16.5" thickTop="1" thickBot="1" x14ac:dyDescent="0.3">
      <c r="C39" s="271" t="s">
        <v>47</v>
      </c>
      <c r="D39" s="621">
        <v>5.8700000000000002E-2</v>
      </c>
      <c r="E39" s="621">
        <v>3.5000000000000003E-2</v>
      </c>
      <c r="G39" s="427" t="s">
        <v>79</v>
      </c>
      <c r="H39" s="428"/>
      <c r="I39" s="429" t="s">
        <v>21</v>
      </c>
      <c r="J39" s="430">
        <f>SUM(J30:J38)</f>
        <v>1.7800000000000002</v>
      </c>
      <c r="K39" s="370">
        <f t="shared" si="0"/>
        <v>2509800</v>
      </c>
      <c r="L39" s="277">
        <f t="shared" si="1"/>
        <v>1.7800000000000002</v>
      </c>
      <c r="N39" s="430">
        <f t="shared" ref="N39:Q39" si="2">SUM(N30:N38)</f>
        <v>1.7800000000000002</v>
      </c>
      <c r="O39" s="430">
        <f t="shared" si="2"/>
        <v>1.9800000000000004</v>
      </c>
      <c r="P39" s="430">
        <f t="shared" si="2"/>
        <v>2.1800000000000002</v>
      </c>
      <c r="Q39" s="430">
        <f t="shared" si="2"/>
        <v>2.63</v>
      </c>
    </row>
    <row r="40" spans="1:17" s="326" customFormat="1" ht="15.75" thickBot="1" x14ac:dyDescent="0.3">
      <c r="C40" s="271" t="s">
        <v>48</v>
      </c>
      <c r="D40" s="621">
        <v>5.8700000000000002E-2</v>
      </c>
      <c r="E40" s="621">
        <v>3.5000000000000003E-2</v>
      </c>
      <c r="O40" s="365"/>
    </row>
    <row r="41" spans="1:17" s="326" customFormat="1" x14ac:dyDescent="0.25">
      <c r="C41" s="271" t="s">
        <v>49</v>
      </c>
      <c r="D41" s="621">
        <v>5.8700000000000002E-2</v>
      </c>
      <c r="E41" s="621">
        <v>3.5000000000000003E-2</v>
      </c>
      <c r="G41" s="656" t="s">
        <v>77</v>
      </c>
      <c r="H41" s="657"/>
      <c r="I41" s="289" t="s">
        <v>75</v>
      </c>
      <c r="J41" s="288" t="s">
        <v>255</v>
      </c>
      <c r="K41" s="366" t="s">
        <v>189</v>
      </c>
      <c r="L41" s="290" t="s">
        <v>37</v>
      </c>
    </row>
    <row r="42" spans="1:17" s="326" customFormat="1" x14ac:dyDescent="0.25">
      <c r="C42" s="271" t="s">
        <v>50</v>
      </c>
      <c r="D42" s="621">
        <v>5.8700000000000002E-2</v>
      </c>
      <c r="E42" s="621">
        <v>3.5000000000000003E-2</v>
      </c>
      <c r="G42" s="649" t="s">
        <v>274</v>
      </c>
      <c r="H42" s="650"/>
      <c r="I42" s="278" t="s">
        <v>0</v>
      </c>
      <c r="J42" s="259">
        <v>0</v>
      </c>
      <c r="K42" s="368">
        <f>J42</f>
        <v>0</v>
      </c>
      <c r="L42" s="270">
        <f>K42/($E$18*1000)</f>
        <v>0</v>
      </c>
    </row>
    <row r="43" spans="1:17" s="326" customFormat="1" x14ac:dyDescent="0.25">
      <c r="C43" s="271" t="s">
        <v>51</v>
      </c>
      <c r="D43" s="621">
        <v>5.8700000000000002E-2</v>
      </c>
      <c r="E43" s="621">
        <v>3.5000000000000003E-2</v>
      </c>
      <c r="G43" s="649" t="s">
        <v>275</v>
      </c>
      <c r="H43" s="650"/>
      <c r="I43" s="278" t="s">
        <v>21</v>
      </c>
      <c r="J43" s="606">
        <v>0</v>
      </c>
      <c r="K43" s="368">
        <f>J43*E18*1000</f>
        <v>0</v>
      </c>
      <c r="L43" s="270">
        <f>K43/($E$18*1000)</f>
        <v>0</v>
      </c>
      <c r="M43" s="389"/>
    </row>
    <row r="44" spans="1:17" s="326" customFormat="1" x14ac:dyDescent="0.25">
      <c r="C44" s="271" t="s">
        <v>52</v>
      </c>
      <c r="D44" s="621">
        <v>5.8700000000000002E-2</v>
      </c>
      <c r="E44" s="621">
        <v>3.5000000000000003E-2</v>
      </c>
      <c r="G44" s="649" t="s">
        <v>276</v>
      </c>
      <c r="H44" s="650"/>
      <c r="I44" s="278" t="s">
        <v>40</v>
      </c>
      <c r="J44" s="606">
        <v>6000</v>
      </c>
      <c r="K44" s="368">
        <f>J44*E58</f>
        <v>150000</v>
      </c>
      <c r="L44" s="270">
        <f>K44/($E$18*1000)</f>
        <v>0.10638297872340426</v>
      </c>
    </row>
    <row r="45" spans="1:17" s="326" customFormat="1" ht="15.75" thickBot="1" x14ac:dyDescent="0.3">
      <c r="C45" s="271" t="s">
        <v>53</v>
      </c>
      <c r="D45" s="621">
        <v>5.8700000000000002E-2</v>
      </c>
      <c r="E45" s="621">
        <v>3.5000000000000003E-2</v>
      </c>
      <c r="G45" s="662" t="s">
        <v>277</v>
      </c>
      <c r="H45" s="663"/>
      <c r="I45" s="279" t="s">
        <v>0</v>
      </c>
      <c r="J45" s="262">
        <v>0</v>
      </c>
      <c r="K45" s="371">
        <f>J45</f>
        <v>0</v>
      </c>
      <c r="L45" s="372">
        <f>K45/($E$18*1000)</f>
        <v>0</v>
      </c>
    </row>
    <row r="46" spans="1:17" s="326" customFormat="1" ht="15.75" thickBot="1" x14ac:dyDescent="0.3">
      <c r="C46" s="271" t="s">
        <v>54</v>
      </c>
      <c r="D46" s="621">
        <v>5.8700000000000002E-2</v>
      </c>
      <c r="E46" s="621">
        <v>3.5000000000000003E-2</v>
      </c>
    </row>
    <row r="47" spans="1:17" s="326" customFormat="1" x14ac:dyDescent="0.25">
      <c r="C47" s="271" t="s">
        <v>55</v>
      </c>
      <c r="D47" s="621">
        <v>5.8700000000000002E-2</v>
      </c>
      <c r="E47" s="621">
        <v>3.5000000000000003E-2</v>
      </c>
      <c r="G47" s="656" t="s">
        <v>78</v>
      </c>
      <c r="H47" s="657"/>
      <c r="I47" s="289" t="s">
        <v>75</v>
      </c>
      <c r="J47" s="288" t="s">
        <v>255</v>
      </c>
      <c r="K47" s="287" t="s">
        <v>189</v>
      </c>
      <c r="L47" s="288" t="s">
        <v>37</v>
      </c>
    </row>
    <row r="48" spans="1:17" s="326" customFormat="1" ht="15.75" thickBot="1" x14ac:dyDescent="0.3">
      <c r="C48" s="271" t="s">
        <v>56</v>
      </c>
      <c r="D48" s="621">
        <v>5.8700000000000002E-2</v>
      </c>
      <c r="E48" s="621">
        <v>3.5000000000000003E-2</v>
      </c>
      <c r="G48" s="662" t="s">
        <v>278</v>
      </c>
      <c r="H48" s="663"/>
      <c r="I48" s="280" t="s">
        <v>42</v>
      </c>
      <c r="J48" s="628">
        <v>15</v>
      </c>
      <c r="K48" s="373">
        <f>J48*E18*E58</f>
        <v>528750</v>
      </c>
      <c r="L48" s="374">
        <f>K48/(E18*1000)</f>
        <v>0.375</v>
      </c>
    </row>
    <row r="49" spans="3:19" s="326" customFormat="1" ht="15.75" thickBot="1" x14ac:dyDescent="0.3">
      <c r="C49" s="272" t="s">
        <v>57</v>
      </c>
      <c r="D49" s="622">
        <v>5.8700000000000002E-2</v>
      </c>
      <c r="E49" s="621">
        <v>3.5000000000000003E-2</v>
      </c>
      <c r="I49" s="327"/>
      <c r="J49" s="327"/>
      <c r="K49" s="328"/>
      <c r="L49" s="328"/>
    </row>
    <row r="50" spans="3:19" s="326" customFormat="1" ht="16.5" thickTop="1" thickBot="1" x14ac:dyDescent="0.3">
      <c r="C50" s="598" t="s">
        <v>61</v>
      </c>
      <c r="D50" s="623">
        <f>AVERAGE(D38:D49)</f>
        <v>5.8699999999999981E-2</v>
      </c>
      <c r="E50" s="623">
        <f>AVERAGE(E38:E49)</f>
        <v>3.500000000000001E-2</v>
      </c>
      <c r="I50" s="327"/>
      <c r="J50" s="327"/>
      <c r="K50" s="328"/>
      <c r="L50" s="328"/>
    </row>
    <row r="51" spans="3:19" s="326" customFormat="1" ht="21.75" thickBot="1" x14ac:dyDescent="0.4">
      <c r="C51" s="375"/>
      <c r="D51" s="375"/>
      <c r="E51" s="376"/>
      <c r="I51" s="327"/>
      <c r="J51" s="329"/>
      <c r="K51" s="330"/>
      <c r="L51" s="330"/>
    </row>
    <row r="52" spans="3:19" s="326" customFormat="1" ht="21" x14ac:dyDescent="0.35">
      <c r="C52" s="653" t="s">
        <v>240</v>
      </c>
      <c r="D52" s="654"/>
      <c r="E52" s="655"/>
      <c r="I52" s="327"/>
      <c r="J52" s="329"/>
      <c r="K52" s="330"/>
      <c r="L52" s="330"/>
    </row>
    <row r="53" spans="3:19" s="326" customFormat="1" ht="21.75" thickBot="1" x14ac:dyDescent="0.4">
      <c r="C53" s="688" t="s">
        <v>241</v>
      </c>
      <c r="D53" s="689"/>
      <c r="E53" s="262">
        <v>0.03</v>
      </c>
      <c r="I53" s="327"/>
      <c r="J53" s="329"/>
      <c r="K53" s="330"/>
      <c r="L53" s="330"/>
    </row>
    <row r="54" spans="3:19" s="326" customFormat="1" ht="21" x14ac:dyDescent="0.35">
      <c r="C54" s="375"/>
      <c r="D54" s="375"/>
      <c r="E54" s="376"/>
      <c r="I54" s="327"/>
      <c r="J54" s="329"/>
      <c r="K54" s="330"/>
      <c r="L54" s="330"/>
    </row>
    <row r="55" spans="3:19" s="326" customFormat="1" ht="21" x14ac:dyDescent="0.35">
      <c r="C55" s="331" t="s">
        <v>102</v>
      </c>
      <c r="D55" s="334"/>
      <c r="E55" s="333"/>
      <c r="G55" s="331" t="s">
        <v>98</v>
      </c>
      <c r="H55" s="332"/>
      <c r="I55" s="332"/>
      <c r="J55" s="333"/>
      <c r="K55" s="333"/>
      <c r="L55" s="333"/>
      <c r="N55" s="365" t="s">
        <v>330</v>
      </c>
    </row>
    <row r="56" spans="3:19" s="326" customFormat="1" ht="15.75" thickBot="1" x14ac:dyDescent="0.3">
      <c r="C56" s="334"/>
      <c r="D56" s="334"/>
      <c r="E56" s="333"/>
      <c r="G56" s="334"/>
      <c r="I56" s="335"/>
      <c r="J56" s="333"/>
      <c r="K56" s="333"/>
      <c r="L56" s="333"/>
    </row>
    <row r="57" spans="3:19" s="326" customFormat="1" ht="30" x14ac:dyDescent="0.25">
      <c r="C57" s="684" t="s">
        <v>91</v>
      </c>
      <c r="D57" s="685"/>
      <c r="E57" s="686"/>
      <c r="G57" s="679" t="s">
        <v>101</v>
      </c>
      <c r="H57" s="680"/>
      <c r="I57" s="411" t="s">
        <v>75</v>
      </c>
      <c r="J57" s="417" t="s">
        <v>76</v>
      </c>
      <c r="K57" s="409" t="s">
        <v>189</v>
      </c>
      <c r="L57" s="410" t="s">
        <v>37</v>
      </c>
      <c r="N57" s="335" t="s">
        <v>334</v>
      </c>
      <c r="P57" s="627" t="s">
        <v>340</v>
      </c>
      <c r="Q57" s="627" t="s">
        <v>337</v>
      </c>
      <c r="R57" s="627" t="s">
        <v>349</v>
      </c>
    </row>
    <row r="58" spans="3:19" s="326" customFormat="1" x14ac:dyDescent="0.25">
      <c r="C58" s="668" t="s">
        <v>100</v>
      </c>
      <c r="D58" s="673"/>
      <c r="E58" s="310">
        <v>25</v>
      </c>
      <c r="G58" s="666" t="s">
        <v>279</v>
      </c>
      <c r="H58" s="667"/>
      <c r="I58" s="414" t="s">
        <v>1</v>
      </c>
      <c r="J58" s="418">
        <v>0.3</v>
      </c>
      <c r="K58" s="336">
        <f>Community_Solar_Business_Case!E39</f>
        <v>752940.00000000012</v>
      </c>
      <c r="L58" s="337">
        <f t="shared" ref="L58:L62" si="3">K58/($E$18*1000)</f>
        <v>0.53400000000000003</v>
      </c>
      <c r="N58" s="332" t="s">
        <v>331</v>
      </c>
      <c r="O58" s="626">
        <v>45</v>
      </c>
      <c r="P58" s="626">
        <f>O58*$O$70</f>
        <v>4.05</v>
      </c>
      <c r="Q58" s="626">
        <f>O58*$O$66</f>
        <v>4.95</v>
      </c>
      <c r="R58" s="626">
        <f>O58*$O$67</f>
        <v>0</v>
      </c>
      <c r="S58" s="625"/>
    </row>
    <row r="59" spans="3:19" s="326" customFormat="1" x14ac:dyDescent="0.25">
      <c r="C59" s="668" t="s">
        <v>106</v>
      </c>
      <c r="D59" s="673"/>
      <c r="E59" s="603">
        <v>0.4</v>
      </c>
      <c r="G59" s="666" t="s">
        <v>290</v>
      </c>
      <c r="H59" s="667"/>
      <c r="I59" s="415" t="s">
        <v>2</v>
      </c>
      <c r="J59" s="419">
        <v>0</v>
      </c>
      <c r="K59" s="338">
        <f>Community_Solar_Business_Case!F43:AD43</f>
        <v>0</v>
      </c>
      <c r="L59" s="337">
        <f t="shared" si="3"/>
        <v>0</v>
      </c>
      <c r="N59" s="332" t="s">
        <v>332</v>
      </c>
      <c r="O59" s="626">
        <v>50</v>
      </c>
      <c r="P59" s="626">
        <f>O59*$O$70</f>
        <v>4.5</v>
      </c>
      <c r="Q59" s="626">
        <f>O59*$O$66</f>
        <v>5.5</v>
      </c>
      <c r="R59" s="626">
        <f>O59*$O$67</f>
        <v>0</v>
      </c>
      <c r="S59" s="625"/>
    </row>
    <row r="60" spans="3:19" s="326" customFormat="1" x14ac:dyDescent="0.25">
      <c r="C60" s="668" t="s">
        <v>263</v>
      </c>
      <c r="D60" s="673"/>
      <c r="E60" s="264">
        <v>1.4999999999999999E-2</v>
      </c>
      <c r="F60" s="326">
        <f>E59*E35*E13</f>
        <v>1782.9677419354837</v>
      </c>
      <c r="G60" s="666" t="s">
        <v>291</v>
      </c>
      <c r="H60" s="667"/>
      <c r="I60" s="415" t="s">
        <v>37</v>
      </c>
      <c r="J60" s="419">
        <v>0.25</v>
      </c>
      <c r="K60" s="338">
        <f>J60*1000*E18</f>
        <v>352500</v>
      </c>
      <c r="L60" s="337">
        <f t="shared" si="3"/>
        <v>0.25</v>
      </c>
      <c r="N60" s="332" t="s">
        <v>333</v>
      </c>
      <c r="O60" s="626">
        <v>52</v>
      </c>
      <c r="P60" s="626">
        <f>O60*$O$70</f>
        <v>4.68</v>
      </c>
      <c r="Q60" s="626">
        <f>O60*$O$66</f>
        <v>5.72</v>
      </c>
      <c r="R60" s="626">
        <f>O60*$O$67</f>
        <v>0</v>
      </c>
      <c r="S60" s="625"/>
    </row>
    <row r="61" spans="3:19" s="326" customFormat="1" ht="15.75" thickBot="1" x14ac:dyDescent="0.3">
      <c r="C61" s="664" t="s">
        <v>119</v>
      </c>
      <c r="D61" s="665"/>
      <c r="E61" s="432">
        <v>0</v>
      </c>
      <c r="G61" s="666" t="s">
        <v>292</v>
      </c>
      <c r="H61" s="667"/>
      <c r="I61" s="415" t="s">
        <v>0</v>
      </c>
      <c r="J61" s="608">
        <v>0</v>
      </c>
      <c r="K61" s="338">
        <f>J61</f>
        <v>0</v>
      </c>
      <c r="L61" s="337">
        <f t="shared" si="3"/>
        <v>0</v>
      </c>
      <c r="N61" s="332" t="s">
        <v>350</v>
      </c>
      <c r="O61" s="626">
        <v>73</v>
      </c>
      <c r="P61" s="626">
        <f>O61*$O$70</f>
        <v>6.5699999999999994</v>
      </c>
      <c r="Q61" s="626">
        <f>O61*$O$66</f>
        <v>8.0299999999999994</v>
      </c>
      <c r="R61" s="626">
        <f>O61*$O$67</f>
        <v>0</v>
      </c>
      <c r="S61" s="625"/>
    </row>
    <row r="62" spans="3:19" s="326" customFormat="1" ht="15.75" thickBot="1" x14ac:dyDescent="0.3">
      <c r="C62" s="377"/>
      <c r="G62" s="666" t="s">
        <v>280</v>
      </c>
      <c r="H62" s="674"/>
      <c r="I62" s="415" t="str">
        <f>IF(E11="Panel Leasing","$/panel/month","$/panel")</f>
        <v>$/panel/month</v>
      </c>
      <c r="J62" s="608">
        <f>E12*0.5</f>
        <v>0.69</v>
      </c>
      <c r="K62" s="338">
        <f>SUM(Community_Solar_Business_Case!F55:J55)</f>
        <v>1195773.90075</v>
      </c>
      <c r="L62" s="337">
        <f t="shared" si="3"/>
        <v>0.84806659627659575</v>
      </c>
      <c r="M62" s="408"/>
      <c r="N62" s="332"/>
      <c r="O62" s="626"/>
      <c r="P62" s="626">
        <f>O62*$O$70</f>
        <v>0</v>
      </c>
      <c r="Q62" s="626">
        <f>O62*$O$66</f>
        <v>0</v>
      </c>
      <c r="R62" s="626">
        <f>O62*$O$67</f>
        <v>0</v>
      </c>
      <c r="S62" s="625"/>
    </row>
    <row r="63" spans="3:19" s="326" customFormat="1" x14ac:dyDescent="0.25">
      <c r="C63" s="670" t="s">
        <v>191</v>
      </c>
      <c r="D63" s="671"/>
      <c r="E63" s="672"/>
      <c r="G63" s="677" t="s">
        <v>281</v>
      </c>
      <c r="H63" s="678"/>
      <c r="I63" s="414" t="s">
        <v>16</v>
      </c>
      <c r="J63" s="609">
        <f>O58+R58</f>
        <v>45</v>
      </c>
      <c r="K63" s="338" t="s">
        <v>181</v>
      </c>
      <c r="L63" s="412" t="s">
        <v>181</v>
      </c>
      <c r="O63" s="625"/>
      <c r="P63" s="625"/>
      <c r="Q63" s="625"/>
      <c r="R63" s="625"/>
      <c r="S63" s="625"/>
    </row>
    <row r="64" spans="3:19" s="326" customFormat="1" x14ac:dyDescent="0.25">
      <c r="C64" s="668" t="s">
        <v>116</v>
      </c>
      <c r="D64" s="669"/>
      <c r="E64" s="265">
        <v>2.7799999999999998E-2</v>
      </c>
      <c r="G64" s="400" t="s">
        <v>282</v>
      </c>
      <c r="H64" s="402"/>
      <c r="I64" s="414" t="s">
        <v>4</v>
      </c>
      <c r="J64" s="420">
        <v>15</v>
      </c>
      <c r="K64" s="413" t="s">
        <v>181</v>
      </c>
      <c r="L64" s="382" t="s">
        <v>181</v>
      </c>
      <c r="N64" s="335" t="s">
        <v>335</v>
      </c>
      <c r="O64" s="625"/>
      <c r="P64" s="625"/>
      <c r="Q64" s="625"/>
      <c r="R64" s="625"/>
      <c r="S64" s="625"/>
    </row>
    <row r="65" spans="2:19" s="326" customFormat="1" x14ac:dyDescent="0.25">
      <c r="C65" s="668" t="s">
        <v>111</v>
      </c>
      <c r="D65" s="669"/>
      <c r="E65" s="265">
        <v>0.1</v>
      </c>
      <c r="G65" s="666" t="s">
        <v>283</v>
      </c>
      <c r="H65" s="667"/>
      <c r="I65" s="414" t="s">
        <v>4</v>
      </c>
      <c r="J65" s="420">
        <v>5</v>
      </c>
      <c r="K65" s="338">
        <f>SUM(Community_Solar_Business_Case!E40:AD40)</f>
        <v>746665.50000000012</v>
      </c>
      <c r="L65" s="337">
        <f>K65/($E$18*1000)</f>
        <v>0.52955000000000008</v>
      </c>
      <c r="N65" s="332" t="s">
        <v>336</v>
      </c>
      <c r="O65" s="632">
        <v>0</v>
      </c>
      <c r="P65" s="625"/>
      <c r="Q65" s="625"/>
      <c r="R65" s="625"/>
      <c r="S65" s="625"/>
    </row>
    <row r="66" spans="2:19" s="326" customFormat="1" ht="15.75" thickBot="1" x14ac:dyDescent="0.3">
      <c r="C66" s="664" t="s">
        <v>103</v>
      </c>
      <c r="D66" s="665"/>
      <c r="E66" s="266">
        <v>0.08</v>
      </c>
      <c r="G66" s="677" t="s">
        <v>284</v>
      </c>
      <c r="H66" s="678"/>
      <c r="I66" s="414" t="s">
        <v>5</v>
      </c>
      <c r="J66" s="421">
        <v>0.35</v>
      </c>
      <c r="K66" s="339">
        <f>J39*J67*1000*E18</f>
        <v>0</v>
      </c>
      <c r="L66" s="340">
        <f>K66/($E$18*1000)</f>
        <v>0</v>
      </c>
      <c r="N66" s="332" t="s">
        <v>337</v>
      </c>
      <c r="O66" s="632">
        <v>0.11</v>
      </c>
      <c r="P66" s="625"/>
      <c r="Q66" s="625"/>
      <c r="R66" s="625"/>
      <c r="S66" s="625"/>
    </row>
    <row r="67" spans="2:19" s="326" customFormat="1" ht="15.75" thickBot="1" x14ac:dyDescent="0.3">
      <c r="C67" s="379"/>
      <c r="D67" s="380"/>
      <c r="G67" s="675" t="s">
        <v>285</v>
      </c>
      <c r="H67" s="676"/>
      <c r="I67" s="416" t="s">
        <v>6</v>
      </c>
      <c r="J67" s="422">
        <v>0</v>
      </c>
      <c r="K67" s="378"/>
      <c r="N67" s="332" t="s">
        <v>338</v>
      </c>
      <c r="O67" s="632">
        <v>0</v>
      </c>
      <c r="P67" s="625"/>
      <c r="Q67" s="625"/>
      <c r="R67" s="625"/>
      <c r="S67" s="625"/>
    </row>
    <row r="68" spans="2:19" s="326" customFormat="1" x14ac:dyDescent="0.25">
      <c r="I68" s="334"/>
      <c r="J68" s="378"/>
      <c r="K68" s="378"/>
      <c r="N68" s="332"/>
      <c r="O68" s="632"/>
      <c r="P68" s="625"/>
      <c r="Q68" s="625"/>
      <c r="R68" s="625"/>
      <c r="S68" s="625"/>
    </row>
    <row r="69" spans="2:19" s="326" customFormat="1" ht="21" x14ac:dyDescent="0.35">
      <c r="C69" s="331" t="s">
        <v>198</v>
      </c>
      <c r="D69" s="380"/>
      <c r="G69" s="331" t="s">
        <v>127</v>
      </c>
      <c r="I69" s="334"/>
      <c r="J69" s="378"/>
      <c r="K69" s="378"/>
      <c r="N69" s="335" t="s">
        <v>339</v>
      </c>
      <c r="O69" s="633"/>
      <c r="P69" s="625"/>
      <c r="Q69" s="625"/>
      <c r="R69" s="625"/>
      <c r="S69" s="625"/>
    </row>
    <row r="70" spans="2:19" s="326" customFormat="1" ht="15.75" thickBot="1" x14ac:dyDescent="0.3">
      <c r="C70" s="379"/>
      <c r="D70" s="380"/>
      <c r="I70" s="334"/>
      <c r="J70" s="378"/>
      <c r="N70" s="332" t="s">
        <v>351</v>
      </c>
      <c r="O70" s="632">
        <v>0.09</v>
      </c>
      <c r="P70" s="625"/>
      <c r="Q70" s="625"/>
      <c r="R70" s="625"/>
      <c r="S70" s="625"/>
    </row>
    <row r="71" spans="2:19" s="326" customFormat="1" x14ac:dyDescent="0.25">
      <c r="C71" s="653" t="s">
        <v>199</v>
      </c>
      <c r="D71" s="654"/>
      <c r="E71" s="655"/>
      <c r="G71" s="656" t="s">
        <v>129</v>
      </c>
      <c r="H71" s="657"/>
      <c r="I71" s="423" t="s">
        <v>75</v>
      </c>
      <c r="J71" s="424" t="s">
        <v>76</v>
      </c>
      <c r="K71" s="286" t="s">
        <v>189</v>
      </c>
      <c r="L71" s="288" t="s">
        <v>37</v>
      </c>
      <c r="O71" s="625"/>
      <c r="P71" s="625"/>
      <c r="Q71" s="625"/>
      <c r="R71" s="625"/>
      <c r="S71" s="625"/>
    </row>
    <row r="72" spans="2:19" s="326" customFormat="1" x14ac:dyDescent="0.25">
      <c r="C72" s="281"/>
      <c r="D72" s="435" t="s">
        <v>200</v>
      </c>
      <c r="E72" s="282" t="s">
        <v>193</v>
      </c>
      <c r="G72" s="668" t="s">
        <v>128</v>
      </c>
      <c r="H72" s="669"/>
      <c r="I72" s="341" t="s">
        <v>181</v>
      </c>
      <c r="J72" s="610" t="s">
        <v>221</v>
      </c>
      <c r="K72" s="381" t="s">
        <v>181</v>
      </c>
      <c r="L72" s="382" t="s">
        <v>181</v>
      </c>
      <c r="O72" s="625"/>
      <c r="P72" s="625"/>
      <c r="Q72" s="625"/>
      <c r="R72" s="625"/>
      <c r="S72" s="625"/>
    </row>
    <row r="73" spans="2:19" s="326" customFormat="1" x14ac:dyDescent="0.25">
      <c r="C73" s="285" t="s">
        <v>114</v>
      </c>
      <c r="D73" s="604">
        <v>0</v>
      </c>
      <c r="E73" s="267">
        <v>0.5</v>
      </c>
      <c r="G73" s="668" t="s">
        <v>168</v>
      </c>
      <c r="H73" s="669"/>
      <c r="I73" s="341" t="s">
        <v>0</v>
      </c>
      <c r="J73" s="343">
        <v>50</v>
      </c>
      <c r="K73" s="381" t="s">
        <v>181</v>
      </c>
      <c r="L73" s="382" t="s">
        <v>181</v>
      </c>
      <c r="O73" s="625"/>
      <c r="P73" s="625"/>
      <c r="Q73" s="625"/>
      <c r="R73" s="625"/>
      <c r="S73" s="625"/>
    </row>
    <row r="74" spans="2:19" s="326" customFormat="1" x14ac:dyDescent="0.25">
      <c r="C74" s="285" t="s">
        <v>115</v>
      </c>
      <c r="D74" s="604">
        <v>0</v>
      </c>
      <c r="E74" s="267">
        <v>0.08</v>
      </c>
      <c r="G74" s="668" t="s">
        <v>169</v>
      </c>
      <c r="H74" s="669"/>
      <c r="I74" s="342" t="s">
        <v>5</v>
      </c>
      <c r="J74" s="263">
        <v>0.03</v>
      </c>
      <c r="K74" s="381" t="s">
        <v>181</v>
      </c>
      <c r="L74" s="382" t="s">
        <v>181</v>
      </c>
      <c r="O74" s="625"/>
      <c r="P74" s="625"/>
      <c r="Q74" s="625"/>
      <c r="R74" s="625"/>
      <c r="S74" s="625"/>
    </row>
    <row r="75" spans="2:19" s="326" customFormat="1" ht="15.75" thickBot="1" x14ac:dyDescent="0.3">
      <c r="C75" s="426" t="s">
        <v>117</v>
      </c>
      <c r="D75" s="605">
        <v>0</v>
      </c>
      <c r="E75" s="268">
        <v>5</v>
      </c>
      <c r="G75" s="668" t="s">
        <v>298</v>
      </c>
      <c r="H75" s="669"/>
      <c r="I75" s="341" t="s">
        <v>0</v>
      </c>
      <c r="J75" s="343">
        <v>0</v>
      </c>
      <c r="K75" s="383">
        <f>J75</f>
        <v>0</v>
      </c>
      <c r="L75" s="382">
        <f>J75/($E$18*1000)</f>
        <v>0</v>
      </c>
    </row>
    <row r="76" spans="2:19" s="326" customFormat="1" ht="15.75" thickBot="1" x14ac:dyDescent="0.3">
      <c r="C76" s="333"/>
      <c r="D76" s="333"/>
      <c r="E76" s="333"/>
      <c r="G76" s="664" t="s">
        <v>299</v>
      </c>
      <c r="H76" s="665"/>
      <c r="I76" s="280" t="s">
        <v>211</v>
      </c>
      <c r="J76" s="344">
        <v>0</v>
      </c>
      <c r="K76" s="384">
        <f>J76*25</f>
        <v>0</v>
      </c>
      <c r="L76" s="385">
        <f>K76/($E$18*1000)</f>
        <v>0</v>
      </c>
    </row>
    <row r="77" spans="2:19" s="326" customFormat="1" ht="21" x14ac:dyDescent="0.35">
      <c r="B77" s="331"/>
      <c r="F77" s="333"/>
    </row>
    <row r="78" spans="2:19" s="326" customFormat="1" x14ac:dyDescent="0.25"/>
    <row r="79" spans="2:19" s="326" customFormat="1" x14ac:dyDescent="0.25">
      <c r="G79" s="333"/>
      <c r="H79" s="333"/>
    </row>
    <row r="80" spans="2:19" s="326" customFormat="1" x14ac:dyDescent="0.25"/>
    <row r="81" spans="1:40" s="326" customFormat="1" x14ac:dyDescent="0.25">
      <c r="C81" s="333"/>
      <c r="D81" s="333"/>
      <c r="E81" s="333"/>
      <c r="F81" s="387"/>
      <c r="G81" s="386"/>
      <c r="H81" s="386"/>
      <c r="P81" s="333"/>
      <c r="Q81" s="333"/>
    </row>
    <row r="82" spans="1:40" x14ac:dyDescent="0.25">
      <c r="A82" s="326"/>
      <c r="B82" s="326"/>
      <c r="C82" s="388"/>
      <c r="D82" s="388"/>
      <c r="F82" s="387"/>
      <c r="G82" s="387"/>
      <c r="H82" s="387"/>
      <c r="I82" s="326"/>
      <c r="J82" s="326"/>
      <c r="K82" s="326"/>
      <c r="L82" s="326"/>
      <c r="M82" s="326"/>
      <c r="N82" s="326"/>
      <c r="Q82" s="332"/>
    </row>
    <row r="83" spans="1:40" s="332" customFormat="1" x14ac:dyDescent="0.25">
      <c r="A83" s="333"/>
      <c r="B83" s="333"/>
      <c r="C83" s="326"/>
      <c r="D83" s="326"/>
      <c r="E83" s="326"/>
      <c r="F83" s="333"/>
      <c r="G83" s="387"/>
      <c r="H83" s="387"/>
      <c r="I83" s="326"/>
      <c r="J83" s="326"/>
      <c r="P83" s="326"/>
      <c r="Q83" s="326"/>
      <c r="T83" s="333"/>
      <c r="U83" s="333"/>
      <c r="V83" s="333"/>
      <c r="W83" s="333"/>
      <c r="X83" s="333"/>
      <c r="Y83" s="333"/>
      <c r="Z83" s="333"/>
      <c r="AA83" s="333"/>
      <c r="AB83" s="333"/>
      <c r="AC83" s="333"/>
      <c r="AD83" s="333"/>
      <c r="AE83" s="333"/>
      <c r="AF83" s="333"/>
      <c r="AG83" s="333"/>
      <c r="AH83" s="333"/>
      <c r="AI83" s="333"/>
      <c r="AJ83" s="333"/>
      <c r="AK83" s="333"/>
      <c r="AL83" s="333"/>
      <c r="AM83" s="333"/>
      <c r="AN83" s="333"/>
    </row>
    <row r="84" spans="1:40" s="326" customFormat="1" x14ac:dyDescent="0.25">
      <c r="G84" s="387"/>
      <c r="H84" s="387"/>
    </row>
    <row r="85" spans="1:40" s="326" customFormat="1" x14ac:dyDescent="0.25">
      <c r="G85" s="333"/>
      <c r="H85" s="333"/>
      <c r="I85" s="334"/>
      <c r="J85" s="332"/>
    </row>
    <row r="86" spans="1:40" s="326" customFormat="1" x14ac:dyDescent="0.25">
      <c r="I86" s="334"/>
    </row>
    <row r="87" spans="1:40" s="326" customFormat="1" x14ac:dyDescent="0.25">
      <c r="I87" s="334"/>
    </row>
    <row r="88" spans="1:40" s="326" customFormat="1" x14ac:dyDescent="0.25">
      <c r="I88" s="334"/>
    </row>
    <row r="89" spans="1:40" s="326" customFormat="1" x14ac:dyDescent="0.25">
      <c r="I89" s="334"/>
    </row>
    <row r="90" spans="1:40" s="326" customFormat="1" x14ac:dyDescent="0.25">
      <c r="I90" s="334"/>
    </row>
    <row r="91" spans="1:40" s="326" customFormat="1" x14ac:dyDescent="0.25">
      <c r="I91" s="334"/>
    </row>
    <row r="92" spans="1:40" s="326" customFormat="1" x14ac:dyDescent="0.25">
      <c r="I92" s="334"/>
    </row>
    <row r="93" spans="1:40" s="326" customFormat="1" x14ac:dyDescent="0.25">
      <c r="I93" s="334"/>
    </row>
    <row r="94" spans="1:40" s="326" customFormat="1" x14ac:dyDescent="0.25">
      <c r="I94" s="334"/>
    </row>
    <row r="95" spans="1:40" s="326" customFormat="1" x14ac:dyDescent="0.25">
      <c r="I95" s="334"/>
      <c r="J95" s="334"/>
    </row>
    <row r="96" spans="1:40" s="326" customFormat="1" x14ac:dyDescent="0.25">
      <c r="I96" s="334"/>
      <c r="J96" s="334"/>
    </row>
    <row r="97" spans="1:29" s="326" customFormat="1" x14ac:dyDescent="0.25">
      <c r="I97" s="334"/>
      <c r="J97" s="334"/>
    </row>
    <row r="98" spans="1:29" s="326" customFormat="1" x14ac:dyDescent="0.25">
      <c r="I98" s="334"/>
    </row>
    <row r="99" spans="1:29" s="326" customFormat="1" x14ac:dyDescent="0.25">
      <c r="I99" s="334"/>
    </row>
    <row r="100" spans="1:29" s="326" customFormat="1" x14ac:dyDescent="0.25">
      <c r="I100" s="334"/>
    </row>
    <row r="101" spans="1:29" s="326" customFormat="1" x14ac:dyDescent="0.25">
      <c r="I101" s="334"/>
      <c r="J101" s="389"/>
    </row>
    <row r="102" spans="1:29" s="326" customFormat="1" x14ac:dyDescent="0.25">
      <c r="I102" s="390"/>
    </row>
    <row r="103" spans="1:29" s="326" customFormat="1" x14ac:dyDescent="0.25">
      <c r="I103" s="390"/>
    </row>
    <row r="104" spans="1:29" s="326" customFormat="1" x14ac:dyDescent="0.25">
      <c r="I104" s="391"/>
      <c r="J104" s="377"/>
    </row>
    <row r="105" spans="1:29" s="326" customFormat="1" x14ac:dyDescent="0.25">
      <c r="I105" s="377"/>
      <c r="J105" s="377"/>
    </row>
    <row r="106" spans="1:29" s="326" customFormat="1" x14ac:dyDescent="0.25">
      <c r="I106" s="377"/>
      <c r="J106" s="377"/>
    </row>
    <row r="107" spans="1:29" s="326" customFormat="1" ht="21" x14ac:dyDescent="0.35">
      <c r="I107" s="377"/>
      <c r="J107" s="331"/>
    </row>
    <row r="108" spans="1:29" s="326" customFormat="1" x14ac:dyDescent="0.25">
      <c r="I108" s="377"/>
      <c r="J108" s="377"/>
    </row>
    <row r="109" spans="1:29" s="326" customFormat="1" x14ac:dyDescent="0.25">
      <c r="C109" s="328"/>
      <c r="D109" s="328"/>
      <c r="E109" s="328"/>
      <c r="F109" s="392"/>
      <c r="I109" s="377"/>
    </row>
    <row r="110" spans="1:29" s="328" customFormat="1" x14ac:dyDescent="0.25">
      <c r="A110" s="326"/>
      <c r="B110" s="326"/>
      <c r="F110" s="326"/>
      <c r="G110" s="326"/>
      <c r="H110" s="326"/>
      <c r="I110" s="377"/>
      <c r="J110" s="326"/>
      <c r="K110" s="326"/>
      <c r="L110" s="326"/>
      <c r="M110" s="326"/>
      <c r="N110" s="326"/>
      <c r="O110" s="326"/>
      <c r="P110" s="326"/>
      <c r="Q110" s="326"/>
      <c r="R110" s="326"/>
      <c r="S110" s="326"/>
      <c r="T110" s="326"/>
      <c r="U110" s="326"/>
      <c r="V110" s="326"/>
      <c r="W110" s="326"/>
      <c r="X110" s="326"/>
      <c r="Y110" s="326"/>
      <c r="Z110" s="326"/>
      <c r="AA110" s="326"/>
      <c r="AB110" s="326"/>
      <c r="AC110" s="326"/>
    </row>
    <row r="111" spans="1:29" s="328" customFormat="1" x14ac:dyDescent="0.25">
      <c r="G111" s="392"/>
      <c r="H111" s="392"/>
      <c r="I111" s="377"/>
      <c r="J111" s="326"/>
      <c r="K111" s="326"/>
      <c r="L111" s="326"/>
      <c r="M111" s="326"/>
      <c r="N111" s="326"/>
      <c r="O111" s="326"/>
      <c r="P111" s="326"/>
      <c r="Q111" s="326"/>
      <c r="R111" s="326"/>
      <c r="S111" s="326"/>
      <c r="T111" s="326"/>
      <c r="U111" s="326"/>
      <c r="V111" s="326"/>
      <c r="W111" s="326"/>
      <c r="X111" s="326"/>
      <c r="Y111" s="326"/>
      <c r="Z111" s="326"/>
      <c r="AA111" s="326"/>
      <c r="AB111" s="326"/>
      <c r="AC111" s="326"/>
    </row>
    <row r="112" spans="1:29" s="328" customFormat="1" x14ac:dyDescent="0.25">
      <c r="G112" s="326"/>
      <c r="H112" s="326"/>
      <c r="I112" s="377"/>
      <c r="J112" s="326"/>
      <c r="K112" s="326"/>
      <c r="L112" s="326"/>
      <c r="M112" s="326"/>
      <c r="N112" s="326"/>
      <c r="O112" s="326"/>
      <c r="P112" s="326"/>
      <c r="Q112" s="326"/>
      <c r="R112" s="326"/>
      <c r="S112" s="326"/>
      <c r="T112" s="326"/>
      <c r="U112" s="326"/>
      <c r="V112" s="326"/>
      <c r="W112" s="326"/>
      <c r="X112" s="326"/>
      <c r="Y112" s="326"/>
      <c r="Z112" s="326"/>
      <c r="AA112" s="326"/>
      <c r="AB112" s="326"/>
      <c r="AC112" s="326"/>
    </row>
    <row r="113" spans="1:17" s="326" customFormat="1" x14ac:dyDescent="0.25">
      <c r="A113" s="328"/>
      <c r="B113" s="328"/>
      <c r="F113" s="328"/>
      <c r="G113" s="328"/>
      <c r="H113" s="328"/>
      <c r="I113" s="328"/>
    </row>
    <row r="114" spans="1:17" s="326" customFormat="1" x14ac:dyDescent="0.25">
      <c r="G114" s="328"/>
      <c r="H114" s="328"/>
      <c r="I114" s="328"/>
    </row>
    <row r="115" spans="1:17" s="326" customFormat="1" x14ac:dyDescent="0.25">
      <c r="G115" s="328"/>
      <c r="H115" s="328"/>
      <c r="I115" s="328"/>
    </row>
    <row r="116" spans="1:17" s="326" customFormat="1" x14ac:dyDescent="0.25">
      <c r="K116" s="333"/>
      <c r="L116" s="333"/>
      <c r="P116" s="333"/>
      <c r="Q116" s="333"/>
    </row>
    <row r="117" spans="1:17" x14ac:dyDescent="0.25">
      <c r="A117" s="326"/>
      <c r="B117" s="326"/>
      <c r="F117" s="326"/>
      <c r="G117" s="326"/>
      <c r="H117" s="326"/>
      <c r="I117" s="326"/>
    </row>
    <row r="118" spans="1:17" x14ac:dyDescent="0.25">
      <c r="G118" s="326"/>
      <c r="H118" s="326"/>
      <c r="I118" s="326"/>
    </row>
    <row r="119" spans="1:17" x14ac:dyDescent="0.25">
      <c r="G119" s="326"/>
      <c r="H119" s="326"/>
    </row>
    <row r="124" spans="1:17" x14ac:dyDescent="0.25">
      <c r="A124" s="393"/>
      <c r="B124" s="393"/>
      <c r="J124" s="333"/>
    </row>
    <row r="125" spans="1:17" x14ac:dyDescent="0.25">
      <c r="J125" s="333"/>
    </row>
    <row r="126" spans="1:17" ht="18.75" x14ac:dyDescent="0.3">
      <c r="A126" s="394"/>
      <c r="B126" s="394"/>
      <c r="I126" s="333"/>
      <c r="J126" s="333"/>
    </row>
    <row r="127" spans="1:17" x14ac:dyDescent="0.25">
      <c r="A127" s="395"/>
      <c r="B127" s="395"/>
      <c r="I127" s="333"/>
      <c r="J127" s="333"/>
    </row>
    <row r="128" spans="1:17" x14ac:dyDescent="0.25">
      <c r="A128" s="395"/>
      <c r="B128" s="395"/>
      <c r="I128" s="333"/>
      <c r="J128" s="333"/>
    </row>
    <row r="129" spans="1:10" x14ac:dyDescent="0.25">
      <c r="A129" s="395"/>
      <c r="B129" s="395"/>
      <c r="I129" s="333"/>
      <c r="J129" s="333"/>
    </row>
    <row r="130" spans="1:10" x14ac:dyDescent="0.25">
      <c r="A130" s="395"/>
      <c r="B130" s="395"/>
      <c r="I130" s="333"/>
      <c r="J130" s="333"/>
    </row>
    <row r="131" spans="1:10" x14ac:dyDescent="0.25">
      <c r="A131" s="395"/>
      <c r="B131" s="395"/>
      <c r="I131" s="333"/>
      <c r="J131" s="333"/>
    </row>
    <row r="132" spans="1:10" x14ac:dyDescent="0.25">
      <c r="A132" s="395"/>
      <c r="B132" s="395"/>
      <c r="I132" s="333"/>
      <c r="J132" s="333"/>
    </row>
    <row r="133" spans="1:10" x14ac:dyDescent="0.25">
      <c r="A133" s="395"/>
      <c r="B133" s="395"/>
      <c r="I133" s="333"/>
      <c r="J133" s="333"/>
    </row>
    <row r="134" spans="1:10" x14ac:dyDescent="0.25">
      <c r="A134" s="395"/>
      <c r="B134" s="395"/>
      <c r="I134" s="333"/>
      <c r="J134" s="333"/>
    </row>
    <row r="135" spans="1:10" x14ac:dyDescent="0.25">
      <c r="A135" s="395"/>
      <c r="B135" s="395"/>
      <c r="I135" s="333"/>
      <c r="J135" s="333"/>
    </row>
    <row r="136" spans="1:10" x14ac:dyDescent="0.25">
      <c r="A136" s="395"/>
      <c r="B136" s="395"/>
      <c r="I136" s="333"/>
      <c r="J136" s="333"/>
    </row>
    <row r="137" spans="1:10" x14ac:dyDescent="0.25">
      <c r="A137" s="395"/>
      <c r="B137" s="395"/>
      <c r="I137" s="333"/>
      <c r="J137" s="333"/>
    </row>
    <row r="138" spans="1:10" x14ac:dyDescent="0.25">
      <c r="A138" s="395"/>
      <c r="B138" s="395"/>
      <c r="I138" s="333"/>
      <c r="J138" s="333"/>
    </row>
    <row r="139" spans="1:10" x14ac:dyDescent="0.25">
      <c r="I139" s="333"/>
    </row>
    <row r="140" spans="1:10" x14ac:dyDescent="0.25">
      <c r="I140" s="333"/>
    </row>
  </sheetData>
  <mergeCells count="69">
    <mergeCell ref="G76:H76"/>
    <mergeCell ref="G72:H72"/>
    <mergeCell ref="A1:F4"/>
    <mergeCell ref="G29:H29"/>
    <mergeCell ref="G41:H41"/>
    <mergeCell ref="G47:H47"/>
    <mergeCell ref="C19:D19"/>
    <mergeCell ref="C20:D20"/>
    <mergeCell ref="C21:D21"/>
    <mergeCell ref="C11:D11"/>
    <mergeCell ref="C22:D22"/>
    <mergeCell ref="C10:E10"/>
    <mergeCell ref="C12:D12"/>
    <mergeCell ref="C15:E15"/>
    <mergeCell ref="G10:H10"/>
    <mergeCell ref="A30:A32"/>
    <mergeCell ref="C23:D23"/>
    <mergeCell ref="G57:H57"/>
    <mergeCell ref="G23:I24"/>
    <mergeCell ref="C29:E29"/>
    <mergeCell ref="C57:E57"/>
    <mergeCell ref="C30:D30"/>
    <mergeCell ref="C32:D32"/>
    <mergeCell ref="C33:D33"/>
    <mergeCell ref="C34:D34"/>
    <mergeCell ref="C35:D35"/>
    <mergeCell ref="C31:D31"/>
    <mergeCell ref="C52:E52"/>
    <mergeCell ref="G36:H36"/>
    <mergeCell ref="G34:H34"/>
    <mergeCell ref="G35:H35"/>
    <mergeCell ref="C53:D53"/>
    <mergeCell ref="G75:H75"/>
    <mergeCell ref="G67:H67"/>
    <mergeCell ref="G60:H60"/>
    <mergeCell ref="G61:H61"/>
    <mergeCell ref="G63:H63"/>
    <mergeCell ref="G65:H65"/>
    <mergeCell ref="G74:H74"/>
    <mergeCell ref="G73:H73"/>
    <mergeCell ref="G66:H66"/>
    <mergeCell ref="G33:H33"/>
    <mergeCell ref="C66:D66"/>
    <mergeCell ref="G58:H58"/>
    <mergeCell ref="G59:H59"/>
    <mergeCell ref="C65:D65"/>
    <mergeCell ref="C61:D61"/>
    <mergeCell ref="C64:D64"/>
    <mergeCell ref="C63:E63"/>
    <mergeCell ref="C60:D60"/>
    <mergeCell ref="C59:D59"/>
    <mergeCell ref="G62:H62"/>
    <mergeCell ref="C58:D58"/>
    <mergeCell ref="C13:D13"/>
    <mergeCell ref="G37:H37"/>
    <mergeCell ref="G38:H38"/>
    <mergeCell ref="C71:E71"/>
    <mergeCell ref="G71:H71"/>
    <mergeCell ref="C16:D16"/>
    <mergeCell ref="C17:D17"/>
    <mergeCell ref="C18:D18"/>
    <mergeCell ref="G48:H48"/>
    <mergeCell ref="G42:H42"/>
    <mergeCell ref="G43:H43"/>
    <mergeCell ref="G44:H44"/>
    <mergeCell ref="G45:H45"/>
    <mergeCell ref="G30:H30"/>
    <mergeCell ref="G31:H31"/>
    <mergeCell ref="G32:H32"/>
  </mergeCells>
  <dataValidations count="5">
    <dataValidation type="list" allowBlank="1" showInputMessage="1" showErrorMessage="1" sqref="E21">
      <formula1>"Tax-Exempt Entity, Non Tax-Exempt Entity"</formula1>
    </dataValidation>
    <dataValidation type="list" allowBlank="1" showInputMessage="1" showErrorMessage="1" sqref="E20">
      <formula1>"Ground Mount, Rooftop, Canopy"</formula1>
    </dataValidation>
    <dataValidation type="list" allowBlank="1" showDropDown="1" showInputMessage="1" showErrorMessage="1" sqref="J58">
      <formula1>"30%, 20%, 10%"</formula1>
    </dataValidation>
    <dataValidation type="list" allowBlank="1" showInputMessage="1" showErrorMessage="1" sqref="J72">
      <formula1>"Easy, Moderate, Difficult"</formula1>
    </dataValidation>
    <dataValidation type="list" allowBlank="1" showInputMessage="1" showErrorMessage="1" sqref="E11">
      <formula1>"Panel Purchasing, Panel Leasing"</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6">
    <tabColor rgb="FF002060"/>
  </sheetPr>
  <dimension ref="A1:BU124"/>
  <sheetViews>
    <sheetView topLeftCell="A8" zoomScale="85" zoomScaleNormal="85" workbookViewId="0">
      <selection activeCell="A69" sqref="A69"/>
    </sheetView>
  </sheetViews>
  <sheetFormatPr defaultColWidth="9.140625" defaultRowHeight="15" x14ac:dyDescent="0.25"/>
  <cols>
    <col min="1" max="1" width="9.140625" style="377"/>
    <col min="2" max="2" width="5.42578125" style="377" customWidth="1"/>
    <col min="3" max="3" width="49.85546875" style="377" customWidth="1"/>
    <col min="4" max="4" width="14.5703125" style="451" bestFit="1" customWidth="1"/>
    <col min="5" max="5" width="15.42578125" style="451" bestFit="1" customWidth="1"/>
    <col min="6" max="6" width="14.28515625" style="451" bestFit="1" customWidth="1"/>
    <col min="7" max="7" width="14" style="451" bestFit="1" customWidth="1"/>
    <col min="8" max="8" width="12.85546875" style="451" bestFit="1" customWidth="1"/>
    <col min="9" max="9" width="15.28515625" style="451" bestFit="1" customWidth="1"/>
    <col min="10" max="30" width="10.5703125" style="451" customWidth="1"/>
    <col min="31" max="32" width="10.5703125" style="452" customWidth="1"/>
    <col min="33" max="53" width="10.5703125" style="451" customWidth="1"/>
    <col min="54" max="68" width="10.5703125" style="377" customWidth="1"/>
    <col min="69" max="16384" width="9.140625" style="377"/>
  </cols>
  <sheetData>
    <row r="1" spans="1:53" ht="15" customHeight="1" x14ac:dyDescent="0.25">
      <c r="A1" s="716" t="s">
        <v>253</v>
      </c>
      <c r="B1" s="717"/>
      <c r="C1" s="717"/>
      <c r="D1" s="717"/>
      <c r="E1" s="717"/>
      <c r="F1" s="718"/>
    </row>
    <row r="2" spans="1:53" x14ac:dyDescent="0.25">
      <c r="A2" s="719"/>
      <c r="B2" s="720"/>
      <c r="C2" s="720"/>
      <c r="D2" s="720"/>
      <c r="E2" s="720"/>
      <c r="F2" s="721"/>
    </row>
    <row r="3" spans="1:53" x14ac:dyDescent="0.25">
      <c r="A3" s="719"/>
      <c r="B3" s="720"/>
      <c r="C3" s="720"/>
      <c r="D3" s="720"/>
      <c r="E3" s="720"/>
      <c r="F3" s="721"/>
    </row>
    <row r="4" spans="1:53" ht="15.75" thickBot="1" x14ac:dyDescent="0.3">
      <c r="A4" s="722"/>
      <c r="B4" s="723"/>
      <c r="C4" s="723"/>
      <c r="D4" s="723"/>
      <c r="E4" s="723"/>
      <c r="F4" s="724"/>
    </row>
    <row r="5" spans="1:53" ht="14.45" x14ac:dyDescent="0.3">
      <c r="C5" s="453"/>
      <c r="D5" s="453"/>
      <c r="E5" s="453"/>
    </row>
    <row r="6" spans="1:53" thickBot="1" x14ac:dyDescent="0.35">
      <c r="C6" s="453"/>
      <c r="D6" s="453"/>
      <c r="E6" s="453"/>
    </row>
    <row r="7" spans="1:53" ht="14.45" x14ac:dyDescent="0.3">
      <c r="B7" s="729" t="s">
        <v>256</v>
      </c>
      <c r="C7" s="730"/>
      <c r="D7" s="730"/>
      <c r="E7" s="731"/>
      <c r="L7" s="377"/>
      <c r="M7" s="377"/>
      <c r="N7" s="377"/>
      <c r="O7" s="377"/>
      <c r="P7" s="377"/>
      <c r="Q7" s="377"/>
      <c r="R7" s="377"/>
      <c r="S7" s="377"/>
      <c r="T7" s="377"/>
      <c r="U7" s="377"/>
      <c r="V7" s="377"/>
      <c r="W7" s="377"/>
      <c r="X7" s="377"/>
      <c r="Y7" s="377"/>
      <c r="Z7" s="377"/>
      <c r="AA7" s="377"/>
      <c r="AB7" s="377"/>
      <c r="AC7" s="377"/>
      <c r="AD7" s="377"/>
      <c r="AE7" s="454"/>
      <c r="AF7" s="454"/>
      <c r="AG7" s="377"/>
      <c r="AH7" s="377"/>
      <c r="AI7" s="377"/>
      <c r="AJ7" s="377"/>
      <c r="AK7" s="377"/>
      <c r="AL7" s="377"/>
      <c r="AM7" s="377"/>
      <c r="AN7" s="377"/>
      <c r="AO7" s="377"/>
      <c r="AP7" s="377"/>
      <c r="AQ7" s="377"/>
      <c r="AR7" s="377"/>
      <c r="AS7" s="377"/>
      <c r="AT7" s="377"/>
      <c r="AU7" s="377"/>
      <c r="AV7" s="377"/>
      <c r="AW7" s="377"/>
      <c r="AX7" s="377"/>
      <c r="AY7" s="377"/>
      <c r="AZ7" s="377"/>
      <c r="BA7" s="377"/>
    </row>
    <row r="8" spans="1:53" ht="14.45" x14ac:dyDescent="0.3">
      <c r="B8" s="732" t="s">
        <v>171</v>
      </c>
      <c r="C8" s="733"/>
      <c r="D8" s="455">
        <f>'Key_Assumptions_&amp;_Inputs'!E18</f>
        <v>1410</v>
      </c>
      <c r="E8" s="456" t="s">
        <v>172</v>
      </c>
      <c r="G8" s="457"/>
      <c r="H8" s="458"/>
      <c r="I8" s="459"/>
      <c r="L8" s="377"/>
      <c r="M8" s="377"/>
      <c r="N8" s="377"/>
      <c r="O8" s="377"/>
      <c r="P8" s="377"/>
      <c r="Q8" s="377"/>
      <c r="R8" s="377"/>
      <c r="S8" s="377"/>
      <c r="T8" s="377"/>
      <c r="U8" s="377"/>
      <c r="V8" s="377"/>
      <c r="W8" s="377"/>
      <c r="X8" s="377"/>
      <c r="Y8" s="377"/>
      <c r="Z8" s="377"/>
      <c r="AA8" s="377"/>
      <c r="AB8" s="377"/>
      <c r="AC8" s="377"/>
      <c r="AD8" s="377"/>
      <c r="AE8" s="454"/>
      <c r="AF8" s="454"/>
      <c r="AG8" s="377"/>
      <c r="AH8" s="377"/>
      <c r="AI8" s="377"/>
      <c r="AJ8" s="377"/>
      <c r="AK8" s="377"/>
      <c r="AL8" s="377"/>
      <c r="AM8" s="377"/>
      <c r="AN8" s="377"/>
      <c r="AO8" s="377"/>
      <c r="AP8" s="377"/>
      <c r="AQ8" s="377"/>
      <c r="AR8" s="377"/>
      <c r="AS8" s="377"/>
      <c r="AT8" s="377"/>
      <c r="AU8" s="377"/>
      <c r="AV8" s="377"/>
      <c r="AW8" s="377"/>
      <c r="AX8" s="377"/>
      <c r="AY8" s="377"/>
      <c r="AZ8" s="377"/>
      <c r="BA8" s="377"/>
    </row>
    <row r="9" spans="1:53" ht="14.45" x14ac:dyDescent="0.3">
      <c r="B9" s="732" t="s">
        <v>45</v>
      </c>
      <c r="C9" s="733"/>
      <c r="D9" s="455">
        <f>'Key_Assumptions_&amp;_Inputs'!E35</f>
        <v>4548.3870967741932</v>
      </c>
      <c r="E9" s="456"/>
      <c r="G9" s="457"/>
      <c r="H9" s="458"/>
      <c r="I9" s="459"/>
      <c r="L9" s="377"/>
      <c r="M9" s="377"/>
      <c r="N9" s="377"/>
      <c r="O9" s="377"/>
      <c r="P9" s="377"/>
      <c r="Q9" s="377"/>
      <c r="R9" s="377"/>
      <c r="S9" s="377"/>
      <c r="T9" s="377"/>
      <c r="U9" s="377"/>
      <c r="V9" s="377"/>
      <c r="W9" s="377"/>
      <c r="X9" s="377"/>
      <c r="Y9" s="377"/>
      <c r="Z9" s="377"/>
      <c r="AA9" s="377"/>
      <c r="AB9" s="377"/>
      <c r="AC9" s="377"/>
      <c r="AD9" s="377"/>
      <c r="AE9" s="454"/>
      <c r="AF9" s="454"/>
      <c r="AG9" s="377"/>
      <c r="AH9" s="377"/>
      <c r="AI9" s="377"/>
      <c r="AJ9" s="377"/>
      <c r="AK9" s="377"/>
      <c r="AL9" s="377"/>
      <c r="AM9" s="377"/>
      <c r="AN9" s="377"/>
      <c r="AO9" s="377"/>
      <c r="AP9" s="377"/>
      <c r="AQ9" s="377"/>
      <c r="AR9" s="377"/>
      <c r="AS9" s="377"/>
      <c r="AT9" s="377"/>
      <c r="AU9" s="377"/>
      <c r="AV9" s="377"/>
      <c r="AW9" s="377"/>
      <c r="AX9" s="377"/>
      <c r="AY9" s="377"/>
      <c r="AZ9" s="377"/>
      <c r="BA9" s="377"/>
    </row>
    <row r="10" spans="1:53" ht="14.45" x14ac:dyDescent="0.3">
      <c r="B10" s="668" t="s">
        <v>73</v>
      </c>
      <c r="C10" s="669"/>
      <c r="D10" s="455">
        <f>'Key_Assumptions_&amp;_Inputs'!E22</f>
        <v>20</v>
      </c>
      <c r="E10" s="456"/>
      <c r="G10" s="457"/>
      <c r="H10" s="458"/>
      <c r="I10" s="459"/>
      <c r="L10" s="377"/>
      <c r="M10" s="377"/>
      <c r="N10" s="377"/>
      <c r="O10" s="377"/>
      <c r="P10" s="377"/>
      <c r="Q10" s="377"/>
      <c r="R10" s="377"/>
      <c r="S10" s="377"/>
      <c r="T10" s="377"/>
      <c r="U10" s="377"/>
      <c r="V10" s="377"/>
      <c r="W10" s="377"/>
      <c r="X10" s="377"/>
      <c r="Y10" s="377"/>
      <c r="Z10" s="377"/>
      <c r="AA10" s="377"/>
      <c r="AB10" s="377"/>
      <c r="AC10" s="377"/>
      <c r="AD10" s="377"/>
      <c r="AE10" s="454"/>
      <c r="AF10" s="454"/>
      <c r="AG10" s="377"/>
      <c r="AH10" s="377"/>
      <c r="AI10" s="377"/>
      <c r="AJ10" s="377"/>
      <c r="AK10" s="377"/>
      <c r="AL10" s="377"/>
      <c r="AM10" s="377"/>
      <c r="AN10" s="377"/>
      <c r="AO10" s="377"/>
      <c r="AP10" s="377"/>
      <c r="AQ10" s="377"/>
      <c r="AR10" s="377"/>
      <c r="AS10" s="377"/>
      <c r="AT10" s="377"/>
      <c r="AU10" s="377"/>
      <c r="AV10" s="377"/>
      <c r="AW10" s="377"/>
      <c r="AX10" s="377"/>
      <c r="AY10" s="377"/>
      <c r="AZ10" s="377"/>
      <c r="BA10" s="377"/>
    </row>
    <row r="11" spans="1:53" ht="14.45" x14ac:dyDescent="0.3">
      <c r="B11" s="732" t="s">
        <v>206</v>
      </c>
      <c r="C11" s="733"/>
      <c r="D11" s="455">
        <f>(D9/D10)*D12</f>
        <v>136.45161290322579</v>
      </c>
      <c r="E11" s="456"/>
      <c r="G11" s="457"/>
      <c r="H11" s="458"/>
      <c r="I11" s="459"/>
      <c r="K11" s="460"/>
      <c r="L11" s="377"/>
      <c r="M11" s="377"/>
      <c r="N11" s="377"/>
      <c r="O11" s="377"/>
      <c r="P11" s="377"/>
      <c r="Q11" s="377"/>
      <c r="R11" s="377"/>
      <c r="S11" s="377"/>
      <c r="T11" s="377"/>
      <c r="U11" s="377"/>
      <c r="V11" s="377"/>
      <c r="W11" s="377"/>
      <c r="X11" s="377"/>
      <c r="Y11" s="377"/>
      <c r="Z11" s="377"/>
      <c r="AA11" s="377"/>
      <c r="AB11" s="377"/>
      <c r="AC11" s="377"/>
      <c r="AD11" s="377"/>
      <c r="AE11" s="454"/>
      <c r="AF11" s="454"/>
      <c r="AG11" s="377"/>
      <c r="AH11" s="377"/>
      <c r="AI11" s="377"/>
      <c r="AJ11" s="377"/>
      <c r="AK11" s="377"/>
      <c r="AL11" s="377"/>
      <c r="AM11" s="377"/>
      <c r="AN11" s="377"/>
      <c r="AO11" s="377"/>
      <c r="AP11" s="377"/>
      <c r="AQ11" s="377"/>
      <c r="AR11" s="377"/>
      <c r="AS11" s="377"/>
      <c r="AT11" s="377"/>
      <c r="AU11" s="377"/>
      <c r="AV11" s="377"/>
      <c r="AW11" s="377"/>
      <c r="AX11" s="377"/>
      <c r="AY11" s="377"/>
      <c r="AZ11" s="377"/>
      <c r="BA11" s="377"/>
    </row>
    <row r="12" spans="1:53" ht="15" customHeight="1" x14ac:dyDescent="0.3">
      <c r="B12" s="732" t="s">
        <v>173</v>
      </c>
      <c r="C12" s="733"/>
      <c r="D12" s="461">
        <f>1-'Key_Assumptions_&amp;_Inputs'!E59</f>
        <v>0.6</v>
      </c>
      <c r="E12" s="456"/>
      <c r="G12" s="457"/>
      <c r="H12" s="458"/>
      <c r="I12" s="459"/>
      <c r="L12" s="377"/>
      <c r="M12" s="377"/>
      <c r="N12" s="377"/>
      <c r="O12" s="377"/>
      <c r="P12" s="377"/>
      <c r="Q12" s="377"/>
      <c r="R12" s="377"/>
      <c r="S12" s="377"/>
      <c r="T12" s="377"/>
      <c r="U12" s="377"/>
      <c r="V12" s="377"/>
      <c r="W12" s="377"/>
      <c r="X12" s="377"/>
      <c r="Y12" s="377"/>
      <c r="Z12" s="377"/>
      <c r="AA12" s="377"/>
      <c r="AB12" s="377"/>
      <c r="AC12" s="377"/>
      <c r="AD12" s="377"/>
      <c r="AE12" s="454"/>
      <c r="AF12" s="454"/>
      <c r="AG12" s="377"/>
      <c r="AH12" s="377"/>
      <c r="AI12" s="377"/>
      <c r="AJ12" s="377"/>
      <c r="AK12" s="377"/>
      <c r="AL12" s="377"/>
      <c r="AM12" s="377"/>
      <c r="AN12" s="377"/>
      <c r="AO12" s="377"/>
      <c r="AP12" s="377"/>
      <c r="AQ12" s="377"/>
      <c r="AR12" s="377"/>
      <c r="AS12" s="377"/>
      <c r="AT12" s="377"/>
      <c r="AU12" s="377"/>
      <c r="AV12" s="377"/>
      <c r="AW12" s="377"/>
      <c r="AX12" s="377"/>
      <c r="AY12" s="377"/>
      <c r="AZ12" s="377"/>
      <c r="BA12" s="377"/>
    </row>
    <row r="13" spans="1:53" ht="15" customHeight="1" x14ac:dyDescent="0.3">
      <c r="B13" s="732" t="s">
        <v>174</v>
      </c>
      <c r="C13" s="733"/>
      <c r="D13" s="462">
        <f>'Key_Assumptions_&amp;_Inputs'!J73</f>
        <v>50</v>
      </c>
      <c r="E13" s="456" t="s">
        <v>214</v>
      </c>
      <c r="G13" s="457"/>
      <c r="H13" s="458"/>
      <c r="I13" s="459"/>
      <c r="L13" s="377"/>
      <c r="M13" s="377"/>
      <c r="N13" s="377"/>
      <c r="O13" s="377"/>
      <c r="P13" s="377"/>
      <c r="Q13" s="377"/>
      <c r="R13" s="377"/>
      <c r="S13" s="377"/>
      <c r="T13" s="377"/>
      <c r="U13" s="377"/>
      <c r="V13" s="377"/>
      <c r="W13" s="377"/>
      <c r="X13" s="377"/>
      <c r="Y13" s="377"/>
      <c r="Z13" s="377"/>
      <c r="AA13" s="377"/>
      <c r="AB13" s="377"/>
      <c r="AC13" s="377"/>
      <c r="AD13" s="377"/>
      <c r="AE13" s="454"/>
      <c r="AF13" s="454"/>
      <c r="AG13" s="377"/>
      <c r="AH13" s="377"/>
      <c r="AI13" s="377"/>
      <c r="AJ13" s="377"/>
      <c r="AK13" s="377"/>
      <c r="AL13" s="377"/>
      <c r="AM13" s="377"/>
      <c r="AN13" s="377"/>
      <c r="AO13" s="377"/>
      <c r="AP13" s="377"/>
      <c r="AQ13" s="377"/>
      <c r="AR13" s="377"/>
      <c r="AS13" s="377"/>
      <c r="AT13" s="377"/>
      <c r="AU13" s="377"/>
      <c r="AV13" s="377"/>
      <c r="AW13" s="377"/>
      <c r="AX13" s="377"/>
      <c r="AY13" s="377"/>
      <c r="AZ13" s="377"/>
      <c r="BA13" s="377"/>
    </row>
    <row r="14" spans="1:53" ht="14.45" x14ac:dyDescent="0.3">
      <c r="B14" s="732" t="s">
        <v>175</v>
      </c>
      <c r="C14" s="733"/>
      <c r="D14" s="461">
        <f>'Key_Assumptions_&amp;_Inputs'!J74</f>
        <v>0.03</v>
      </c>
      <c r="E14" s="456"/>
      <c r="G14" s="457"/>
      <c r="H14" s="458"/>
      <c r="I14" s="459"/>
      <c r="L14" s="377"/>
      <c r="M14" s="377"/>
      <c r="N14" s="377"/>
      <c r="O14" s="377"/>
      <c r="P14" s="377"/>
      <c r="Q14" s="377"/>
      <c r="R14" s="377"/>
      <c r="S14" s="377"/>
      <c r="T14" s="377"/>
      <c r="U14" s="377"/>
      <c r="V14" s="377"/>
      <c r="W14" s="377"/>
      <c r="X14" s="377"/>
      <c r="Y14" s="377"/>
      <c r="Z14" s="377"/>
      <c r="AA14" s="377"/>
      <c r="AB14" s="377"/>
      <c r="AC14" s="377"/>
      <c r="AD14" s="377"/>
      <c r="AE14" s="454"/>
      <c r="AF14" s="454"/>
      <c r="AG14" s="377"/>
      <c r="AH14" s="377"/>
      <c r="AI14" s="377"/>
      <c r="AJ14" s="377"/>
      <c r="AK14" s="377"/>
      <c r="AL14" s="377"/>
      <c r="AM14" s="377"/>
      <c r="AN14" s="377"/>
      <c r="AO14" s="377"/>
      <c r="AP14" s="377"/>
      <c r="AQ14" s="377"/>
      <c r="AR14" s="377"/>
      <c r="AS14" s="377"/>
      <c r="AT14" s="377"/>
      <c r="AU14" s="377"/>
      <c r="AV14" s="377"/>
      <c r="AW14" s="377"/>
      <c r="AX14" s="377"/>
      <c r="AY14" s="377"/>
      <c r="AZ14" s="377"/>
      <c r="BA14" s="377"/>
    </row>
    <row r="15" spans="1:53" thickBot="1" x14ac:dyDescent="0.35">
      <c r="B15" s="736" t="s">
        <v>176</v>
      </c>
      <c r="C15" s="737"/>
      <c r="D15" s="463" t="str">
        <f>'Key_Assumptions_&amp;_Inputs'!J72</f>
        <v>Moderate</v>
      </c>
      <c r="E15" s="464"/>
      <c r="G15" s="457"/>
      <c r="H15" s="458"/>
      <c r="I15" s="459"/>
      <c r="L15" s="377"/>
      <c r="M15" s="377"/>
      <c r="N15" s="377"/>
      <c r="O15" s="377"/>
      <c r="P15" s="377"/>
      <c r="Q15" s="377"/>
      <c r="R15" s="377"/>
      <c r="S15" s="377"/>
      <c r="T15" s="377"/>
      <c r="U15" s="377"/>
      <c r="V15" s="377"/>
      <c r="W15" s="377"/>
      <c r="X15" s="377"/>
      <c r="Y15" s="377"/>
      <c r="Z15" s="377"/>
      <c r="AA15" s="377"/>
      <c r="AB15" s="377"/>
      <c r="AC15" s="377"/>
      <c r="AD15" s="377"/>
      <c r="AE15" s="454"/>
      <c r="AF15" s="454"/>
      <c r="AG15" s="377"/>
      <c r="AH15" s="377"/>
      <c r="AI15" s="377"/>
      <c r="AJ15" s="377"/>
      <c r="AK15" s="377"/>
      <c r="AL15" s="377"/>
      <c r="AM15" s="377"/>
      <c r="AN15" s="377"/>
      <c r="AO15" s="377"/>
      <c r="AP15" s="377"/>
      <c r="AQ15" s="377"/>
      <c r="AR15" s="377"/>
      <c r="AS15" s="377"/>
      <c r="AT15" s="377"/>
      <c r="AU15" s="377"/>
      <c r="AV15" s="377"/>
      <c r="AW15" s="377"/>
      <c r="AX15" s="377"/>
      <c r="AY15" s="377"/>
      <c r="AZ15" s="377"/>
      <c r="BA15" s="377"/>
    </row>
    <row r="16" spans="1:53" thickBot="1" x14ac:dyDescent="0.35">
      <c r="C16" s="465"/>
      <c r="D16" s="466"/>
      <c r="G16" s="457"/>
      <c r="H16" s="458"/>
      <c r="I16" s="459"/>
      <c r="L16" s="377"/>
      <c r="M16" s="377"/>
      <c r="N16" s="377"/>
      <c r="O16" s="377"/>
      <c r="P16" s="377"/>
      <c r="Q16" s="377"/>
      <c r="R16" s="377"/>
      <c r="S16" s="377"/>
      <c r="T16" s="377"/>
      <c r="U16" s="377"/>
      <c r="V16" s="377"/>
      <c r="W16" s="377"/>
      <c r="X16" s="377"/>
      <c r="Y16" s="377"/>
      <c r="Z16" s="377"/>
      <c r="AA16" s="377"/>
      <c r="AB16" s="377"/>
      <c r="AC16" s="377"/>
      <c r="AD16" s="377"/>
      <c r="AE16" s="454"/>
      <c r="AF16" s="454"/>
      <c r="AG16" s="377"/>
      <c r="AH16" s="377"/>
      <c r="AI16" s="377"/>
      <c r="AJ16" s="377"/>
      <c r="AK16" s="377"/>
      <c r="AL16" s="377"/>
      <c r="AM16" s="377"/>
      <c r="AN16" s="377"/>
      <c r="AO16" s="377"/>
      <c r="AP16" s="377"/>
      <c r="AQ16" s="377"/>
      <c r="AR16" s="377"/>
      <c r="AS16" s="377"/>
      <c r="AT16" s="377"/>
      <c r="AU16" s="377"/>
      <c r="AV16" s="377"/>
      <c r="AW16" s="377"/>
      <c r="AX16" s="377"/>
      <c r="AY16" s="377"/>
      <c r="AZ16" s="377"/>
      <c r="BA16" s="377"/>
    </row>
    <row r="17" spans="2:53" ht="15.75" thickBot="1" x14ac:dyDescent="0.3">
      <c r="C17" s="465"/>
      <c r="D17" s="466"/>
      <c r="G17" s="457"/>
      <c r="H17" s="458"/>
      <c r="I17" s="459"/>
      <c r="L17" s="377"/>
      <c r="M17" s="377"/>
      <c r="N17" s="377"/>
      <c r="O17" s="377"/>
      <c r="P17" s="377"/>
      <c r="Q17" s="377"/>
      <c r="R17" s="377"/>
      <c r="S17" s="377"/>
      <c r="T17" s="377"/>
      <c r="U17" s="377"/>
      <c r="V17" s="377"/>
      <c r="W17" s="377"/>
      <c r="X17" s="377"/>
      <c r="Y17" s="377"/>
      <c r="Z17" s="377"/>
      <c r="AA17" s="377"/>
      <c r="AB17" s="377"/>
      <c r="AC17" s="377"/>
      <c r="AD17" s="377"/>
      <c r="AE17" s="454"/>
      <c r="AF17" s="454"/>
      <c r="AG17" s="377"/>
      <c r="AH17" s="377"/>
      <c r="AI17" s="377"/>
      <c r="AJ17" s="377"/>
      <c r="AK17" s="377"/>
      <c r="AL17" s="377"/>
      <c r="AM17" s="377"/>
      <c r="AN17" s="377"/>
      <c r="AO17" s="377"/>
      <c r="AP17" s="377"/>
      <c r="AQ17" s="377"/>
      <c r="AR17" s="377"/>
      <c r="AS17" s="377"/>
      <c r="AT17" s="377"/>
      <c r="AU17" s="377"/>
      <c r="AV17" s="377"/>
      <c r="AW17" s="377"/>
      <c r="AX17" s="377"/>
      <c r="AY17" s="377"/>
      <c r="AZ17" s="377"/>
      <c r="BA17" s="377"/>
    </row>
    <row r="18" spans="2:53" x14ac:dyDescent="0.25">
      <c r="B18" s="727" t="s">
        <v>305</v>
      </c>
      <c r="C18" s="728"/>
      <c r="D18" s="467" t="s">
        <v>177</v>
      </c>
      <c r="E18" s="468" t="s">
        <v>21</v>
      </c>
      <c r="F18" s="453"/>
      <c r="G18" s="469" t="s">
        <v>170</v>
      </c>
      <c r="H18" s="458"/>
      <c r="I18" s="470"/>
      <c r="J18" s="471"/>
      <c r="K18" s="471"/>
      <c r="L18" s="377"/>
      <c r="M18" s="377"/>
      <c r="N18" s="377"/>
      <c r="O18" s="377"/>
      <c r="P18" s="377"/>
      <c r="Q18" s="458"/>
      <c r="R18" s="458"/>
      <c r="S18" s="458"/>
      <c r="T18" s="377"/>
      <c r="U18" s="458"/>
      <c r="V18" s="458"/>
      <c r="W18" s="458"/>
      <c r="X18" s="377"/>
      <c r="Y18" s="458"/>
      <c r="Z18" s="458"/>
      <c r="AA18" s="458"/>
      <c r="AB18" s="377"/>
      <c r="AC18" s="377"/>
      <c r="AD18" s="377"/>
      <c r="AE18" s="454"/>
      <c r="AF18" s="454"/>
      <c r="AG18" s="377"/>
      <c r="AH18" s="377"/>
      <c r="AI18" s="377"/>
      <c r="AJ18" s="377"/>
      <c r="AK18" s="377"/>
      <c r="AL18" s="377"/>
      <c r="AM18" s="377"/>
      <c r="AN18" s="377"/>
      <c r="AO18" s="377"/>
      <c r="AP18" s="377"/>
      <c r="AQ18" s="377"/>
      <c r="AR18" s="377"/>
      <c r="AS18" s="377"/>
      <c r="AT18" s="377"/>
      <c r="AU18" s="377"/>
      <c r="AV18" s="377"/>
      <c r="AW18" s="377"/>
      <c r="AX18" s="377"/>
      <c r="AY18" s="377"/>
      <c r="AZ18" s="377"/>
      <c r="BA18" s="377"/>
    </row>
    <row r="19" spans="2:53" x14ac:dyDescent="0.25">
      <c r="B19" s="725" t="s">
        <v>120</v>
      </c>
      <c r="C19" s="726"/>
      <c r="D19" s="462">
        <f>I42</f>
        <v>22456.451612903224</v>
      </c>
      <c r="E19" s="472">
        <f t="shared" ref="E19:E24" si="0">(D19/$D$8)/1000</f>
        <v>1.5926561427590937E-2</v>
      </c>
      <c r="F19" s="453"/>
      <c r="G19" s="588">
        <f>D19/$D$11</f>
        <v>164.57446808510639</v>
      </c>
      <c r="H19" s="458"/>
      <c r="I19" s="458"/>
      <c r="J19" s="458"/>
      <c r="K19" s="458"/>
      <c r="L19" s="377"/>
      <c r="M19" s="377"/>
      <c r="N19" s="377"/>
      <c r="O19" s="377"/>
      <c r="P19" s="377"/>
      <c r="Q19" s="460"/>
      <c r="R19" s="460"/>
      <c r="S19" s="460"/>
      <c r="T19" s="377"/>
      <c r="U19" s="460"/>
      <c r="V19" s="460"/>
      <c r="W19" s="460"/>
      <c r="X19" s="377"/>
      <c r="Y19" s="460"/>
      <c r="Z19" s="460"/>
      <c r="AA19" s="460"/>
      <c r="AB19" s="377"/>
      <c r="AC19" s="377"/>
      <c r="AD19" s="377"/>
      <c r="AE19" s="454"/>
      <c r="AF19" s="454"/>
      <c r="AG19" s="377"/>
      <c r="AH19" s="377"/>
      <c r="AI19" s="377"/>
      <c r="AJ19" s="377"/>
      <c r="AK19" s="377"/>
      <c r="AL19" s="377"/>
      <c r="AM19" s="377"/>
      <c r="AN19" s="377"/>
      <c r="AO19" s="377"/>
      <c r="AP19" s="377"/>
      <c r="AQ19" s="377"/>
      <c r="AR19" s="377"/>
      <c r="AS19" s="377"/>
      <c r="AT19" s="377"/>
      <c r="AU19" s="377"/>
      <c r="AV19" s="377"/>
      <c r="AW19" s="377"/>
      <c r="AX19" s="377"/>
      <c r="AY19" s="377"/>
      <c r="AZ19" s="377"/>
      <c r="BA19" s="377"/>
    </row>
    <row r="20" spans="2:53" x14ac:dyDescent="0.25">
      <c r="B20" s="725" t="s">
        <v>121</v>
      </c>
      <c r="C20" s="726"/>
      <c r="D20" s="462">
        <f>I54</f>
        <v>9900</v>
      </c>
      <c r="E20" s="472">
        <f t="shared" si="0"/>
        <v>7.0212765957446809E-3</v>
      </c>
      <c r="F20" s="453"/>
      <c r="G20" s="588">
        <f t="shared" ref="G20:G23" si="1">D20/$D$11</f>
        <v>72.553191489361708</v>
      </c>
      <c r="H20" s="458"/>
      <c r="I20" s="458"/>
      <c r="J20" s="458"/>
      <c r="K20" s="458"/>
      <c r="L20" s="377"/>
      <c r="M20" s="377"/>
      <c r="N20" s="377"/>
      <c r="O20" s="377"/>
      <c r="P20" s="377"/>
      <c r="Q20" s="377"/>
      <c r="R20" s="377"/>
      <c r="S20" s="377"/>
      <c r="T20" s="377"/>
      <c r="U20" s="377"/>
      <c r="V20" s="377"/>
      <c r="W20" s="377"/>
      <c r="X20" s="377"/>
      <c r="Y20" s="377"/>
      <c r="Z20" s="377"/>
      <c r="AA20" s="377"/>
      <c r="AB20" s="377"/>
      <c r="AC20" s="377"/>
      <c r="AD20" s="377"/>
      <c r="AE20" s="454"/>
      <c r="AF20" s="454"/>
      <c r="AG20" s="377"/>
      <c r="AH20" s="377"/>
      <c r="AI20" s="377"/>
      <c r="AJ20" s="377"/>
      <c r="AK20" s="377"/>
      <c r="AL20" s="377"/>
      <c r="AM20" s="377"/>
      <c r="AN20" s="377"/>
      <c r="AO20" s="377"/>
      <c r="AP20" s="377"/>
      <c r="AQ20" s="377"/>
      <c r="AR20" s="377"/>
      <c r="AS20" s="377"/>
      <c r="AT20" s="377"/>
      <c r="AU20" s="377"/>
      <c r="AV20" s="377"/>
      <c r="AW20" s="377"/>
      <c r="AX20" s="377"/>
      <c r="AY20" s="377"/>
      <c r="AZ20" s="377"/>
      <c r="BA20" s="377"/>
    </row>
    <row r="21" spans="2:53" x14ac:dyDescent="0.25">
      <c r="B21" s="725" t="s">
        <v>122</v>
      </c>
      <c r="C21" s="726"/>
      <c r="D21" s="462">
        <f>I60</f>
        <v>2400</v>
      </c>
      <c r="E21" s="472">
        <f t="shared" si="0"/>
        <v>1.7021276595744681E-3</v>
      </c>
      <c r="F21" s="453"/>
      <c r="G21" s="588">
        <f t="shared" si="1"/>
        <v>17.588652482269506</v>
      </c>
      <c r="H21" s="458"/>
      <c r="I21" s="458"/>
      <c r="J21" s="458"/>
      <c r="K21" s="458"/>
      <c r="L21" s="377"/>
      <c r="M21" s="377"/>
      <c r="N21" s="377"/>
      <c r="O21" s="377"/>
      <c r="P21" s="377"/>
      <c r="Q21" s="377"/>
      <c r="R21" s="377"/>
      <c r="S21" s="377"/>
      <c r="T21" s="377"/>
      <c r="U21" s="377"/>
      <c r="V21" s="377"/>
      <c r="W21" s="377"/>
      <c r="X21" s="377"/>
      <c r="Y21" s="377"/>
      <c r="Z21" s="377"/>
      <c r="AA21" s="377"/>
      <c r="AB21" s="377"/>
      <c r="AC21" s="377"/>
      <c r="AD21" s="377"/>
      <c r="AE21" s="454"/>
      <c r="AF21" s="454"/>
      <c r="AG21" s="377"/>
      <c r="AH21" s="377"/>
      <c r="AI21" s="377"/>
      <c r="AJ21" s="377"/>
      <c r="AK21" s="377"/>
      <c r="AL21" s="377"/>
      <c r="AM21" s="377"/>
      <c r="AN21" s="377"/>
      <c r="AO21" s="377"/>
      <c r="AP21" s="377"/>
      <c r="AQ21" s="377"/>
      <c r="AR21" s="377"/>
      <c r="AS21" s="377"/>
      <c r="AT21" s="377"/>
      <c r="AU21" s="377"/>
      <c r="AV21" s="377"/>
      <c r="AW21" s="377"/>
      <c r="AX21" s="377"/>
      <c r="AY21" s="377"/>
      <c r="AZ21" s="377"/>
      <c r="BA21" s="377"/>
    </row>
    <row r="22" spans="2:53" x14ac:dyDescent="0.25">
      <c r="B22" s="725" t="s">
        <v>123</v>
      </c>
      <c r="C22" s="726"/>
      <c r="D22" s="462">
        <f>I65</f>
        <v>1400</v>
      </c>
      <c r="E22" s="472">
        <f t="shared" si="0"/>
        <v>9.9290780141843976E-4</v>
      </c>
      <c r="F22" s="453"/>
      <c r="G22" s="588">
        <f t="shared" si="1"/>
        <v>10.260047281323878</v>
      </c>
      <c r="H22" s="458"/>
      <c r="I22" s="458"/>
      <c r="J22" s="458"/>
      <c r="K22" s="458"/>
      <c r="L22" s="377"/>
      <c r="M22" s="377"/>
      <c r="N22" s="377"/>
      <c r="O22" s="377"/>
      <c r="P22" s="377"/>
      <c r="Q22" s="377"/>
      <c r="R22" s="377"/>
      <c r="S22" s="377"/>
      <c r="T22" s="377"/>
      <c r="U22" s="377"/>
      <c r="V22" s="377"/>
      <c r="W22" s="377"/>
      <c r="X22" s="377"/>
      <c r="Y22" s="377"/>
      <c r="Z22" s="377"/>
      <c r="AA22" s="377"/>
      <c r="AB22" s="377"/>
      <c r="AC22" s="377"/>
      <c r="AD22" s="377"/>
      <c r="AE22" s="454"/>
      <c r="AF22" s="454"/>
      <c r="AG22" s="377"/>
      <c r="AH22" s="377"/>
      <c r="AI22" s="377"/>
      <c r="AJ22" s="377"/>
      <c r="AK22" s="377"/>
      <c r="AL22" s="377"/>
      <c r="AM22" s="377"/>
      <c r="AN22" s="377"/>
      <c r="AO22" s="377"/>
      <c r="AP22" s="377"/>
      <c r="AQ22" s="377"/>
      <c r="AR22" s="377"/>
      <c r="AS22" s="377"/>
      <c r="AT22" s="377"/>
      <c r="AU22" s="377"/>
      <c r="AV22" s="377"/>
      <c r="AW22" s="377"/>
      <c r="AX22" s="377"/>
      <c r="AY22" s="377"/>
      <c r="AZ22" s="377"/>
      <c r="BA22" s="377"/>
    </row>
    <row r="23" spans="2:53" s="545" customFormat="1" ht="15.75" thickBot="1" x14ac:dyDescent="0.3">
      <c r="B23" s="585" t="s">
        <v>304</v>
      </c>
      <c r="C23" s="586"/>
      <c r="D23" s="473">
        <f>E79</f>
        <v>26958.75</v>
      </c>
      <c r="E23" s="472">
        <f t="shared" si="0"/>
        <v>1.9119680851063831E-2</v>
      </c>
      <c r="F23" s="453"/>
      <c r="G23" s="589">
        <f t="shared" si="1"/>
        <v>197.57003546099293</v>
      </c>
      <c r="H23" s="458"/>
      <c r="I23" s="458"/>
      <c r="J23" s="458"/>
      <c r="K23" s="458"/>
      <c r="AE23" s="454"/>
      <c r="AF23" s="454"/>
    </row>
    <row r="24" spans="2:53" s="478" customFormat="1" ht="16.5" thickTop="1" thickBot="1" x14ac:dyDescent="0.3">
      <c r="B24" s="734" t="s">
        <v>133</v>
      </c>
      <c r="C24" s="735"/>
      <c r="D24" s="583">
        <f>SUM(D19:D23)</f>
        <v>63115.201612903227</v>
      </c>
      <c r="E24" s="584">
        <f t="shared" si="0"/>
        <v>4.4762554335392356E-2</v>
      </c>
      <c r="F24" s="476"/>
      <c r="G24" s="590">
        <f>D24/$D$11</f>
        <v>462.54639479905444</v>
      </c>
      <c r="H24" s="477"/>
      <c r="I24" s="477"/>
      <c r="J24" s="477"/>
      <c r="K24" s="477"/>
      <c r="Q24" s="479"/>
      <c r="R24" s="480"/>
      <c r="S24" s="480"/>
      <c r="U24" s="479"/>
      <c r="V24" s="480"/>
      <c r="W24" s="480"/>
      <c r="AE24" s="481"/>
      <c r="AF24" s="481"/>
    </row>
    <row r="25" spans="2:53" s="378" customFormat="1" ht="15.75" thickBot="1" x14ac:dyDescent="0.3">
      <c r="C25" s="482"/>
      <c r="D25" s="483"/>
      <c r="E25" s="453"/>
      <c r="F25" s="453"/>
      <c r="G25" s="591"/>
      <c r="H25" s="484"/>
      <c r="I25" s="485"/>
      <c r="J25" s="485"/>
      <c r="K25" s="485"/>
      <c r="Q25" s="486"/>
      <c r="R25" s="486"/>
      <c r="S25" s="486"/>
      <c r="U25" s="486"/>
      <c r="V25" s="486"/>
      <c r="W25" s="486"/>
      <c r="AE25" s="487"/>
      <c r="AF25" s="487"/>
    </row>
    <row r="26" spans="2:53" ht="15" customHeight="1" x14ac:dyDescent="0.25">
      <c r="B26" s="727" t="s">
        <v>306</v>
      </c>
      <c r="C26" s="728"/>
      <c r="D26" s="467" t="s">
        <v>177</v>
      </c>
      <c r="E26" s="468" t="s">
        <v>21</v>
      </c>
      <c r="F26" s="453"/>
      <c r="G26" s="592" t="s">
        <v>170</v>
      </c>
      <c r="H26" s="458"/>
      <c r="I26" s="460"/>
      <c r="J26" s="460"/>
      <c r="K26" s="460"/>
      <c r="L26" s="377"/>
      <c r="M26" s="377"/>
      <c r="N26" s="377"/>
      <c r="O26" s="377"/>
      <c r="P26" s="377"/>
      <c r="Q26" s="488"/>
      <c r="R26" s="488"/>
      <c r="S26" s="488"/>
      <c r="T26" s="377"/>
      <c r="U26" s="488"/>
      <c r="V26" s="488"/>
      <c r="W26" s="488"/>
      <c r="X26" s="377"/>
      <c r="Y26" s="377"/>
      <c r="Z26" s="377"/>
      <c r="AA26" s="377"/>
      <c r="AB26" s="377"/>
      <c r="AC26" s="377"/>
      <c r="AD26" s="377"/>
      <c r="AE26" s="454"/>
      <c r="AF26" s="454"/>
      <c r="AG26" s="377"/>
      <c r="AH26" s="377"/>
      <c r="AI26" s="377"/>
      <c r="AJ26" s="377"/>
      <c r="AK26" s="377"/>
      <c r="AL26" s="377"/>
      <c r="AM26" s="377"/>
      <c r="AN26" s="377"/>
      <c r="AO26" s="377"/>
      <c r="AP26" s="377"/>
      <c r="AQ26" s="377"/>
      <c r="AR26" s="377"/>
      <c r="AS26" s="377"/>
      <c r="AT26" s="377"/>
      <c r="AU26" s="377"/>
      <c r="AV26" s="377"/>
      <c r="AW26" s="377"/>
      <c r="AX26" s="377"/>
      <c r="AY26" s="377"/>
      <c r="AZ26" s="377"/>
      <c r="BA26" s="377"/>
    </row>
    <row r="27" spans="2:53" ht="15" customHeight="1" x14ac:dyDescent="0.25">
      <c r="B27" s="725" t="s">
        <v>124</v>
      </c>
      <c r="C27" s="744"/>
      <c r="D27" s="587">
        <f>AD74-E95</f>
        <v>3780</v>
      </c>
      <c r="E27" s="472">
        <f>(D27/$D$8)/1000</f>
        <v>2.6808510638297875E-3</v>
      </c>
      <c r="F27" s="453"/>
      <c r="G27" s="588">
        <f>D27/$D$11</f>
        <v>27.702127659574472</v>
      </c>
      <c r="H27" s="458"/>
      <c r="I27" s="458"/>
      <c r="J27" s="458"/>
      <c r="K27" s="458"/>
      <c r="L27" s="377"/>
      <c r="M27" s="488"/>
      <c r="N27" s="488"/>
      <c r="O27" s="488"/>
      <c r="P27" s="377"/>
      <c r="Q27" s="488"/>
      <c r="R27" s="488"/>
      <c r="S27" s="488"/>
      <c r="T27" s="377"/>
      <c r="U27" s="488"/>
      <c r="V27" s="488"/>
      <c r="W27" s="488"/>
      <c r="X27" s="377"/>
      <c r="Y27" s="377"/>
      <c r="Z27" s="377"/>
      <c r="AA27" s="377"/>
      <c r="AB27" s="377"/>
      <c r="AC27" s="377"/>
      <c r="AD27" s="377"/>
      <c r="AE27" s="454"/>
      <c r="AF27" s="454"/>
      <c r="AG27" s="377"/>
      <c r="AH27" s="377"/>
      <c r="AI27" s="377"/>
      <c r="AJ27" s="377"/>
      <c r="AK27" s="377"/>
      <c r="AL27" s="377"/>
      <c r="AM27" s="377"/>
      <c r="AN27" s="377"/>
      <c r="AO27" s="377"/>
      <c r="AP27" s="377"/>
      <c r="AQ27" s="377"/>
      <c r="AR27" s="377"/>
      <c r="AS27" s="377"/>
      <c r="AT27" s="377"/>
      <c r="AU27" s="377"/>
      <c r="AV27" s="377"/>
      <c r="AW27" s="377"/>
      <c r="AX27" s="377"/>
      <c r="AY27" s="377"/>
      <c r="AZ27" s="377"/>
      <c r="BA27" s="377"/>
    </row>
    <row r="28" spans="2:53" ht="15" customHeight="1" x14ac:dyDescent="0.25">
      <c r="B28" s="725" t="s">
        <v>125</v>
      </c>
      <c r="C28" s="744"/>
      <c r="D28" s="587">
        <f>AD75-E101</f>
        <v>695.83540265778265</v>
      </c>
      <c r="E28" s="472">
        <f>(D28/$D$8)/1000</f>
        <v>4.9350028557289553E-4</v>
      </c>
      <c r="F28" s="453"/>
      <c r="G28" s="588">
        <f t="shared" ref="G28:G31" si="2">D28/$D$11</f>
        <v>5.0995029509199208</v>
      </c>
      <c r="H28" s="458"/>
      <c r="I28" s="458"/>
      <c r="J28" s="458"/>
      <c r="K28" s="458"/>
      <c r="L28" s="377"/>
      <c r="M28" s="488"/>
      <c r="N28" s="488"/>
      <c r="O28" s="488"/>
      <c r="P28" s="377"/>
      <c r="Q28" s="488"/>
      <c r="R28" s="488"/>
      <c r="S28" s="488"/>
      <c r="T28" s="377"/>
      <c r="U28" s="488"/>
      <c r="V28" s="488"/>
      <c r="W28" s="488"/>
      <c r="X28" s="377"/>
      <c r="Y28" s="377"/>
      <c r="Z28" s="377"/>
      <c r="AA28" s="377"/>
      <c r="AB28" s="377"/>
      <c r="AC28" s="377"/>
      <c r="AD28" s="377"/>
      <c r="AE28" s="454"/>
      <c r="AF28" s="454"/>
      <c r="AG28" s="377"/>
      <c r="AH28" s="377"/>
      <c r="AI28" s="377"/>
      <c r="AJ28" s="377"/>
      <c r="AK28" s="377"/>
      <c r="AL28" s="377"/>
      <c r="AM28" s="377"/>
      <c r="AN28" s="377"/>
      <c r="AO28" s="377"/>
      <c r="AP28" s="377"/>
      <c r="AQ28" s="377"/>
      <c r="AR28" s="377"/>
      <c r="AS28" s="377"/>
      <c r="AT28" s="377"/>
      <c r="AU28" s="377"/>
      <c r="AV28" s="377"/>
      <c r="AW28" s="377"/>
      <c r="AX28" s="377"/>
      <c r="AY28" s="377"/>
      <c r="AZ28" s="377"/>
      <c r="BA28" s="377"/>
    </row>
    <row r="29" spans="2:53" ht="15" customHeight="1" x14ac:dyDescent="0.25">
      <c r="B29" s="725" t="s">
        <v>130</v>
      </c>
      <c r="C29" s="744"/>
      <c r="D29" s="587">
        <f>AD76-E107</f>
        <v>497.0252876127015</v>
      </c>
      <c r="E29" s="472">
        <f>(D29/$D$8)/1000</f>
        <v>3.5250020398063935E-4</v>
      </c>
      <c r="F29" s="453"/>
      <c r="G29" s="588">
        <f t="shared" si="2"/>
        <v>3.6425021077999404</v>
      </c>
      <c r="H29" s="458"/>
      <c r="I29" s="458"/>
      <c r="J29" s="458"/>
      <c r="K29" s="458"/>
      <c r="L29" s="377"/>
      <c r="M29" s="488"/>
      <c r="N29" s="488"/>
      <c r="O29" s="488"/>
      <c r="P29" s="377"/>
      <c r="Q29" s="488"/>
      <c r="R29" s="488"/>
      <c r="S29" s="488"/>
      <c r="T29" s="377"/>
      <c r="U29" s="488"/>
      <c r="V29" s="488"/>
      <c r="W29" s="488"/>
      <c r="X29" s="377"/>
      <c r="Y29" s="377"/>
      <c r="Z29" s="377"/>
      <c r="AA29" s="377"/>
      <c r="AB29" s="377"/>
      <c r="AC29" s="377"/>
      <c r="AD29" s="377"/>
      <c r="AE29" s="454"/>
      <c r="AF29" s="454"/>
      <c r="AG29" s="377"/>
      <c r="AH29" s="377"/>
      <c r="AI29" s="377"/>
      <c r="AJ29" s="377"/>
      <c r="AK29" s="377"/>
      <c r="AL29" s="377"/>
      <c r="AM29" s="377"/>
      <c r="AN29" s="377"/>
      <c r="AO29" s="377"/>
      <c r="AP29" s="377"/>
      <c r="AQ29" s="377"/>
      <c r="AR29" s="377"/>
      <c r="AS29" s="377"/>
      <c r="AT29" s="377"/>
      <c r="AU29" s="377"/>
      <c r="AV29" s="377"/>
      <c r="AW29" s="377"/>
      <c r="AX29" s="377"/>
      <c r="AY29" s="377"/>
      <c r="AZ29" s="377"/>
      <c r="BA29" s="377"/>
    </row>
    <row r="30" spans="2:53" x14ac:dyDescent="0.25">
      <c r="B30" s="725" t="s">
        <v>131</v>
      </c>
      <c r="C30" s="744"/>
      <c r="D30" s="587">
        <f>AD77-E115</f>
        <v>4618.9881270922224</v>
      </c>
      <c r="E30" s="472">
        <f>(D30/$D$8)/1000</f>
        <v>3.2758781043207251E-3</v>
      </c>
      <c r="F30" s="453"/>
      <c r="G30" s="588">
        <f t="shared" si="2"/>
        <v>33.850740411314163</v>
      </c>
      <c r="H30" s="458"/>
      <c r="I30" s="458"/>
      <c r="J30" s="458"/>
      <c r="K30" s="458"/>
      <c r="L30" s="377"/>
      <c r="M30" s="488"/>
      <c r="N30" s="488"/>
      <c r="O30" s="488"/>
      <c r="P30" s="377"/>
      <c r="Q30" s="458"/>
      <c r="R30" s="458"/>
      <c r="S30" s="458"/>
      <c r="T30" s="377"/>
      <c r="U30" s="458"/>
      <c r="V30" s="458"/>
      <c r="W30" s="458"/>
      <c r="X30" s="377"/>
      <c r="Y30" s="377"/>
      <c r="Z30" s="377"/>
      <c r="AA30" s="377"/>
      <c r="AB30" s="377"/>
      <c r="AC30" s="377"/>
      <c r="AD30" s="377"/>
      <c r="AE30" s="454"/>
      <c r="AF30" s="454"/>
      <c r="AG30" s="377"/>
      <c r="AH30" s="377"/>
      <c r="AI30" s="377"/>
      <c r="AJ30" s="377"/>
      <c r="AK30" s="377"/>
      <c r="AL30" s="377"/>
      <c r="AM30" s="377"/>
      <c r="AN30" s="377"/>
      <c r="AO30" s="377"/>
      <c r="AP30" s="377"/>
      <c r="AQ30" s="377"/>
      <c r="AR30" s="377"/>
      <c r="AS30" s="377"/>
      <c r="AT30" s="377"/>
      <c r="AU30" s="377"/>
      <c r="AV30" s="377"/>
      <c r="AW30" s="377"/>
      <c r="AX30" s="377"/>
      <c r="AY30" s="377"/>
      <c r="AZ30" s="377"/>
      <c r="BA30" s="377"/>
    </row>
    <row r="31" spans="2:53" ht="15.75" thickBot="1" x14ac:dyDescent="0.3">
      <c r="B31" s="745" t="s">
        <v>166</v>
      </c>
      <c r="C31" s="746"/>
      <c r="D31" s="473">
        <f>AD78-E121</f>
        <v>279129.40152329305</v>
      </c>
      <c r="E31" s="472">
        <f>(D31/$D$8)/1000</f>
        <v>0.19796411455552698</v>
      </c>
      <c r="F31" s="453"/>
      <c r="G31" s="589">
        <f t="shared" si="2"/>
        <v>2045.6291837404458</v>
      </c>
      <c r="H31" s="458"/>
      <c r="I31" s="458"/>
      <c r="J31" s="458"/>
      <c r="K31" s="458"/>
      <c r="L31" s="377"/>
      <c r="M31" s="458"/>
      <c r="N31" s="458"/>
      <c r="O31" s="458"/>
      <c r="P31" s="377"/>
      <c r="Q31" s="458"/>
      <c r="R31" s="458"/>
      <c r="S31" s="458"/>
      <c r="T31" s="377"/>
      <c r="U31" s="458"/>
      <c r="V31" s="458"/>
      <c r="W31" s="458"/>
      <c r="X31" s="377"/>
      <c r="Y31" s="377"/>
      <c r="Z31" s="377"/>
      <c r="AA31" s="377"/>
      <c r="AB31" s="377"/>
      <c r="AC31" s="377"/>
      <c r="AD31" s="377"/>
      <c r="AE31" s="454"/>
      <c r="AF31" s="454"/>
      <c r="AG31" s="377"/>
      <c r="AH31" s="377"/>
      <c r="AI31" s="377"/>
      <c r="AJ31" s="377"/>
      <c r="AK31" s="377"/>
      <c r="AL31" s="377"/>
      <c r="AM31" s="377"/>
      <c r="AN31" s="377"/>
      <c r="AO31" s="377"/>
      <c r="AP31" s="377"/>
      <c r="AQ31" s="377"/>
      <c r="AR31" s="377"/>
      <c r="AS31" s="377"/>
      <c r="AT31" s="377"/>
      <c r="AU31" s="377"/>
      <c r="AV31" s="377"/>
      <c r="AW31" s="377"/>
      <c r="AX31" s="377"/>
      <c r="AY31" s="377"/>
      <c r="AZ31" s="377"/>
      <c r="BA31" s="377"/>
    </row>
    <row r="32" spans="2:53" s="478" customFormat="1" ht="16.5" thickTop="1" thickBot="1" x14ac:dyDescent="0.3">
      <c r="B32" s="740" t="s">
        <v>137</v>
      </c>
      <c r="C32" s="741"/>
      <c r="D32" s="474">
        <f>SUM(D27:D31)</f>
        <v>288721.25034065574</v>
      </c>
      <c r="E32" s="475">
        <f>SUM(E27:E31)</f>
        <v>0.20476684421323102</v>
      </c>
      <c r="F32" s="476"/>
      <c r="G32" s="590">
        <f>D32/$D$11</f>
        <v>2115.9240568700538</v>
      </c>
      <c r="H32" s="477"/>
      <c r="I32" s="489"/>
      <c r="J32" s="489"/>
      <c r="K32" s="489"/>
      <c r="M32" s="477"/>
      <c r="N32" s="477"/>
      <c r="O32" s="477"/>
      <c r="Q32" s="490"/>
      <c r="R32" s="490"/>
      <c r="S32" s="490"/>
      <c r="U32" s="490"/>
      <c r="V32" s="490"/>
      <c r="W32" s="490"/>
      <c r="AE32" s="481"/>
      <c r="AF32" s="481"/>
    </row>
    <row r="33" spans="2:68" x14ac:dyDescent="0.25">
      <c r="E33" s="460"/>
      <c r="I33" s="458"/>
      <c r="J33" s="458"/>
      <c r="K33" s="458"/>
      <c r="L33" s="377"/>
      <c r="M33" s="458"/>
      <c r="N33" s="458"/>
      <c r="O33" s="458"/>
      <c r="P33" s="377"/>
      <c r="Q33" s="377"/>
      <c r="R33" s="377"/>
      <c r="S33" s="377"/>
      <c r="T33" s="377"/>
      <c r="U33" s="377"/>
      <c r="V33" s="377"/>
      <c r="W33" s="377"/>
      <c r="X33" s="377"/>
      <c r="Y33" s="377"/>
      <c r="Z33" s="377"/>
      <c r="AA33" s="377"/>
      <c r="AB33" s="377"/>
      <c r="AC33" s="377"/>
      <c r="AD33" s="377"/>
      <c r="AE33" s="454"/>
      <c r="AF33" s="454"/>
      <c r="AG33" s="377"/>
      <c r="AH33" s="377"/>
      <c r="AI33" s="377"/>
      <c r="AJ33" s="377"/>
      <c r="AK33" s="377"/>
      <c r="AL33" s="377"/>
      <c r="AM33" s="377"/>
      <c r="AN33" s="377"/>
      <c r="AO33" s="377"/>
      <c r="AP33" s="377"/>
      <c r="AQ33" s="377"/>
      <c r="AR33" s="377"/>
      <c r="AS33" s="377"/>
      <c r="AT33" s="377"/>
      <c r="AU33" s="377"/>
      <c r="AV33" s="377"/>
      <c r="AW33" s="377"/>
      <c r="AX33" s="377"/>
      <c r="AY33" s="377"/>
      <c r="AZ33" s="377"/>
      <c r="BA33" s="377"/>
    </row>
    <row r="35" spans="2:68" x14ac:dyDescent="0.25">
      <c r="B35" s="491" t="s">
        <v>138</v>
      </c>
      <c r="F35" s="458"/>
      <c r="G35" s="458"/>
      <c r="H35" s="458"/>
      <c r="I35" s="458"/>
      <c r="J35" s="458"/>
      <c r="K35" s="458"/>
      <c r="P35" s="458"/>
      <c r="Q35" s="458"/>
      <c r="R35" s="458"/>
      <c r="S35" s="458"/>
      <c r="T35" s="458"/>
      <c r="U35" s="458"/>
      <c r="V35" s="458"/>
      <c r="W35" s="458"/>
      <c r="X35" s="458"/>
      <c r="Y35" s="458"/>
      <c r="Z35" s="458"/>
      <c r="AA35" s="458"/>
      <c r="AB35" s="458"/>
      <c r="AC35" s="458"/>
      <c r="AD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88"/>
      <c r="BC35" s="488"/>
      <c r="BD35" s="488"/>
      <c r="BE35" s="488"/>
      <c r="BF35" s="488"/>
      <c r="BG35" s="488"/>
      <c r="BH35" s="488"/>
      <c r="BI35" s="488"/>
      <c r="BJ35" s="488"/>
      <c r="BK35" s="488"/>
      <c r="BL35" s="488"/>
      <c r="BM35" s="488"/>
      <c r="BN35" s="488"/>
      <c r="BO35" s="488"/>
    </row>
    <row r="36" spans="2:68" ht="15.75" thickBot="1" x14ac:dyDescent="0.3">
      <c r="D36" s="377"/>
      <c r="E36" s="377"/>
      <c r="F36" s="377"/>
      <c r="G36" s="377"/>
      <c r="H36" s="377"/>
      <c r="I36" s="377"/>
      <c r="M36" s="460"/>
      <c r="BB36" s="451"/>
    </row>
    <row r="37" spans="2:68" x14ac:dyDescent="0.25">
      <c r="B37" s="727" t="s">
        <v>120</v>
      </c>
      <c r="C37" s="728"/>
      <c r="D37" s="492" t="s">
        <v>21</v>
      </c>
      <c r="E37" s="493" t="s">
        <v>178</v>
      </c>
      <c r="F37" s="493" t="s">
        <v>174</v>
      </c>
      <c r="G37" s="493" t="s">
        <v>179</v>
      </c>
      <c r="H37" s="493" t="s">
        <v>180</v>
      </c>
      <c r="I37" s="494" t="s">
        <v>139</v>
      </c>
      <c r="L37" s="458"/>
      <c r="M37" s="458"/>
      <c r="N37" s="458"/>
      <c r="O37" s="458"/>
      <c r="BB37" s="451"/>
    </row>
    <row r="38" spans="2:68" ht="15.75" thickBot="1" x14ac:dyDescent="0.3">
      <c r="B38" s="725" t="s">
        <v>140</v>
      </c>
      <c r="C38" s="726"/>
      <c r="D38" s="495">
        <f>I38/($D$8*1000)</f>
        <v>7.0921985815602842E-4</v>
      </c>
      <c r="E38" s="614">
        <v>20</v>
      </c>
      <c r="F38" s="462">
        <f>$D$13</f>
        <v>50</v>
      </c>
      <c r="G38" s="462">
        <f>E38*F38</f>
        <v>1000</v>
      </c>
      <c r="H38" s="619">
        <v>0</v>
      </c>
      <c r="I38" s="496">
        <f>G38+H38</f>
        <v>1000</v>
      </c>
      <c r="J38" s="458"/>
      <c r="K38" s="458"/>
      <c r="L38" s="458"/>
      <c r="M38" s="458"/>
      <c r="N38" s="458"/>
      <c r="O38" s="458"/>
      <c r="P38" s="458"/>
      <c r="Q38" s="458"/>
      <c r="R38" s="458"/>
      <c r="S38" s="458"/>
      <c r="T38" s="458"/>
      <c r="U38" s="458"/>
      <c r="V38" s="458"/>
      <c r="W38" s="458"/>
      <c r="X38" s="458"/>
      <c r="Y38" s="458"/>
      <c r="Z38" s="458"/>
      <c r="AA38" s="458"/>
      <c r="AB38" s="458"/>
      <c r="AC38" s="458"/>
      <c r="AD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88"/>
      <c r="BD38" s="488"/>
      <c r="BE38" s="488"/>
      <c r="BF38" s="488"/>
      <c r="BG38" s="488"/>
      <c r="BH38" s="488"/>
      <c r="BI38" s="488"/>
      <c r="BJ38" s="488"/>
      <c r="BK38" s="488"/>
      <c r="BL38" s="488"/>
      <c r="BM38" s="488"/>
      <c r="BN38" s="488"/>
      <c r="BO38" s="488"/>
      <c r="BP38" s="488"/>
    </row>
    <row r="39" spans="2:68" ht="15.75" thickBot="1" x14ac:dyDescent="0.3">
      <c r="B39" s="725" t="s">
        <v>141</v>
      </c>
      <c r="C39" s="726"/>
      <c r="D39" s="495">
        <f>I39/($D$8*1000)</f>
        <v>5.5479295355753827E-3</v>
      </c>
      <c r="E39" s="614">
        <f>IF('Key_Assumptions_&amp;_Inputs'!$J$72="Easy",20,IF('Key_Assumptions_&amp;_Inputs'!$J$72="Moderate",20,IF('Key_Assumptions_&amp;_Inputs'!$J$72="Difficult",40)))</f>
        <v>20</v>
      </c>
      <c r="F39" s="462">
        <f>$D$13</f>
        <v>50</v>
      </c>
      <c r="G39" s="462">
        <f>E39*F39</f>
        <v>1000</v>
      </c>
      <c r="H39" s="616">
        <f>D11*J39</f>
        <v>6822.5806451612898</v>
      </c>
      <c r="I39" s="496">
        <f t="shared" ref="I39:I41" si="3">G39+H39</f>
        <v>7822.5806451612898</v>
      </c>
      <c r="J39" s="618">
        <v>50</v>
      </c>
      <c r="K39" s="498" t="s">
        <v>307</v>
      </c>
      <c r="L39" s="499"/>
      <c r="M39" s="500"/>
      <c r="N39" s="500"/>
      <c r="O39" s="458"/>
      <c r="P39" s="458"/>
      <c r="Q39" s="458"/>
      <c r="R39" s="458"/>
      <c r="S39" s="458"/>
      <c r="T39" s="458"/>
      <c r="U39" s="458"/>
      <c r="V39" s="458"/>
      <c r="W39" s="458"/>
      <c r="X39" s="458"/>
      <c r="Y39" s="458"/>
      <c r="Z39" s="458"/>
      <c r="AA39" s="458"/>
      <c r="AB39" s="458"/>
      <c r="AC39" s="458"/>
      <c r="AD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88"/>
      <c r="BD39" s="488"/>
      <c r="BE39" s="488"/>
      <c r="BF39" s="488"/>
      <c r="BG39" s="488"/>
      <c r="BH39" s="488"/>
      <c r="BI39" s="488"/>
      <c r="BJ39" s="488"/>
      <c r="BK39" s="488"/>
      <c r="BL39" s="488"/>
      <c r="BM39" s="488"/>
      <c r="BN39" s="488"/>
      <c r="BO39" s="488"/>
      <c r="BP39" s="488"/>
    </row>
    <row r="40" spans="2:68" ht="15.75" thickBot="1" x14ac:dyDescent="0.3">
      <c r="B40" s="725" t="s">
        <v>219</v>
      </c>
      <c r="C40" s="726"/>
      <c r="D40" s="495">
        <f>I40/($D$8*1000)</f>
        <v>7.9672843742850594E-3</v>
      </c>
      <c r="E40" s="614">
        <f>IF('Key_Assumptions_&amp;_Inputs'!$J$72="Easy",20,IF('Key_Assumptions_&amp;_Inputs'!$J$72="Moderate",20,IF('Key_Assumptions_&amp;_Inputs'!$J$72="Difficult",40)))</f>
        <v>20</v>
      </c>
      <c r="F40" s="462">
        <f>$D$13</f>
        <v>50</v>
      </c>
      <c r="G40" s="462">
        <f t="shared" ref="G40" si="4">E40*F40</f>
        <v>1000</v>
      </c>
      <c r="H40" s="616">
        <f>D11*J40</f>
        <v>10233.870967741934</v>
      </c>
      <c r="I40" s="496">
        <f t="shared" ref="I40" si="5">G40+H40</f>
        <v>11233.870967741934</v>
      </c>
      <c r="J40" s="618">
        <v>75</v>
      </c>
      <c r="K40" s="498" t="s">
        <v>243</v>
      </c>
      <c r="L40" s="499"/>
      <c r="M40" s="500"/>
      <c r="N40" s="500"/>
      <c r="O40" s="458"/>
      <c r="P40" s="458"/>
      <c r="Q40" s="458"/>
      <c r="R40" s="458"/>
      <c r="S40" s="458"/>
      <c r="T40" s="458"/>
      <c r="U40" s="458"/>
      <c r="V40" s="458"/>
      <c r="W40" s="458"/>
      <c r="X40" s="458"/>
      <c r="Y40" s="458"/>
      <c r="Z40" s="458"/>
      <c r="AA40" s="458"/>
      <c r="AB40" s="458"/>
      <c r="AC40" s="458"/>
      <c r="AD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88"/>
      <c r="BD40" s="488"/>
      <c r="BE40" s="488"/>
      <c r="BF40" s="488"/>
      <c r="BG40" s="488"/>
      <c r="BH40" s="488"/>
      <c r="BI40" s="488"/>
      <c r="BJ40" s="488"/>
      <c r="BK40" s="488"/>
      <c r="BL40" s="488"/>
      <c r="BM40" s="488"/>
      <c r="BN40" s="488"/>
      <c r="BO40" s="488"/>
      <c r="BP40" s="488"/>
    </row>
    <row r="41" spans="2:68" ht="15.75" thickBot="1" x14ac:dyDescent="0.3">
      <c r="B41" s="742" t="s">
        <v>142</v>
      </c>
      <c r="C41" s="743"/>
      <c r="D41" s="501">
        <f>I41/($D$8*1000)</f>
        <v>1.7021276595744681E-3</v>
      </c>
      <c r="E41" s="615">
        <f>IF('Key_Assumptions_&amp;_Inputs'!$J$72="Easy",24,IF('Key_Assumptions_&amp;_Inputs'!$J$72="Moderate",28,IF('Key_Assumptions_&amp;_Inputs'!$J$72="Difficult",32)))</f>
        <v>28</v>
      </c>
      <c r="F41" s="502">
        <f>$D$13</f>
        <v>50</v>
      </c>
      <c r="G41" s="473">
        <f t="shared" ref="G41" si="6">E41*F41</f>
        <v>1400</v>
      </c>
      <c r="H41" s="617">
        <v>1000</v>
      </c>
      <c r="I41" s="503">
        <f t="shared" si="3"/>
        <v>2400</v>
      </c>
      <c r="J41" s="458"/>
      <c r="K41" s="458"/>
      <c r="L41" s="497"/>
      <c r="M41" s="458"/>
      <c r="N41" s="458"/>
      <c r="O41" s="458"/>
      <c r="P41" s="458"/>
      <c r="Q41" s="458"/>
      <c r="R41" s="458"/>
      <c r="S41" s="458"/>
      <c r="T41" s="458"/>
      <c r="U41" s="458"/>
      <c r="V41" s="458"/>
      <c r="W41" s="458"/>
      <c r="X41" s="458"/>
      <c r="Y41" s="458"/>
      <c r="Z41" s="458"/>
      <c r="AA41" s="458"/>
      <c r="AB41" s="458"/>
      <c r="AC41" s="458"/>
      <c r="AD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88"/>
      <c r="BD41" s="488"/>
      <c r="BE41" s="488"/>
      <c r="BF41" s="488"/>
      <c r="BG41" s="488"/>
      <c r="BH41" s="488"/>
      <c r="BI41" s="488"/>
      <c r="BJ41" s="488"/>
      <c r="BK41" s="488"/>
      <c r="BL41" s="488"/>
      <c r="BM41" s="488"/>
      <c r="BN41" s="488"/>
      <c r="BO41" s="488"/>
      <c r="BP41" s="488"/>
    </row>
    <row r="42" spans="2:68" ht="15.75" thickBot="1" x14ac:dyDescent="0.3">
      <c r="D42" s="504"/>
      <c r="E42" s="505"/>
      <c r="F42" s="458"/>
      <c r="G42" s="506">
        <f>SUM(G38:G41)</f>
        <v>4400</v>
      </c>
      <c r="H42" s="507">
        <f t="shared" ref="H42" si="7">SUM(H38:H41)</f>
        <v>18056.451612903224</v>
      </c>
      <c r="I42" s="508">
        <f>SUM(I38:I41)</f>
        <v>22456.451612903224</v>
      </c>
      <c r="J42" s="458"/>
      <c r="K42" s="458"/>
      <c r="L42" s="497"/>
      <c r="M42" s="458"/>
      <c r="N42" s="458"/>
      <c r="O42" s="458"/>
      <c r="P42" s="458"/>
      <c r="Q42" s="458"/>
      <c r="R42" s="458"/>
      <c r="S42" s="458"/>
      <c r="T42" s="458"/>
      <c r="U42" s="458"/>
      <c r="V42" s="458"/>
      <c r="W42" s="458"/>
      <c r="X42" s="458"/>
      <c r="Y42" s="458"/>
      <c r="Z42" s="458"/>
      <c r="AA42" s="458"/>
      <c r="AB42" s="458"/>
      <c r="AC42" s="458"/>
      <c r="AD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88"/>
      <c r="BD42" s="488"/>
      <c r="BE42" s="488"/>
      <c r="BF42" s="488"/>
      <c r="BG42" s="488"/>
      <c r="BH42" s="488"/>
      <c r="BI42" s="488"/>
      <c r="BJ42" s="488"/>
      <c r="BK42" s="488"/>
      <c r="BL42" s="488"/>
      <c r="BM42" s="488"/>
      <c r="BN42" s="488"/>
      <c r="BO42" s="488"/>
      <c r="BP42" s="488"/>
    </row>
    <row r="43" spans="2:68" ht="15.75" thickBot="1" x14ac:dyDescent="0.3">
      <c r="D43" s="504"/>
      <c r="E43" s="505"/>
      <c r="F43" s="458"/>
      <c r="G43" s="458"/>
      <c r="H43" s="458"/>
      <c r="I43" s="509"/>
      <c r="J43" s="458"/>
      <c r="K43" s="458"/>
      <c r="P43" s="458"/>
      <c r="Q43" s="458"/>
      <c r="R43" s="458"/>
      <c r="S43" s="458"/>
      <c r="T43" s="458"/>
      <c r="U43" s="458"/>
      <c r="V43" s="458"/>
      <c r="W43" s="458"/>
      <c r="X43" s="458"/>
      <c r="Y43" s="458"/>
      <c r="Z43" s="458"/>
      <c r="AA43" s="458"/>
      <c r="AB43" s="458"/>
      <c r="AC43" s="458"/>
      <c r="AD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88"/>
      <c r="BD43" s="488"/>
      <c r="BE43" s="488"/>
      <c r="BF43" s="488"/>
      <c r="BG43" s="488"/>
      <c r="BH43" s="488"/>
      <c r="BI43" s="488"/>
      <c r="BJ43" s="488"/>
      <c r="BK43" s="488"/>
      <c r="BL43" s="488"/>
      <c r="BM43" s="488"/>
      <c r="BN43" s="488"/>
      <c r="BO43" s="488"/>
      <c r="BP43" s="488"/>
    </row>
    <row r="44" spans="2:68" x14ac:dyDescent="0.25">
      <c r="B44" s="738" t="s">
        <v>143</v>
      </c>
      <c r="C44" s="739"/>
      <c r="D44" s="492" t="s">
        <v>21</v>
      </c>
      <c r="E44" s="510" t="s">
        <v>178</v>
      </c>
      <c r="F44" s="493" t="s">
        <v>174</v>
      </c>
      <c r="G44" s="493" t="s">
        <v>179</v>
      </c>
      <c r="H44" s="493" t="s">
        <v>180</v>
      </c>
      <c r="I44" s="494" t="s">
        <v>139</v>
      </c>
      <c r="L44" s="511"/>
      <c r="M44" s="458"/>
      <c r="N44" s="458"/>
      <c r="O44" s="458"/>
      <c r="BB44" s="451"/>
    </row>
    <row r="45" spans="2:68" x14ac:dyDescent="0.25">
      <c r="B45" s="725" t="s">
        <v>144</v>
      </c>
      <c r="C45" s="726"/>
      <c r="D45" s="495">
        <f>I45/($D$8*1000)</f>
        <v>3.1914893617021275E-4</v>
      </c>
      <c r="E45" s="614">
        <v>4</v>
      </c>
      <c r="F45" s="462">
        <f t="shared" ref="F45:F52" si="8">$D$13</f>
        <v>50</v>
      </c>
      <c r="G45" s="462">
        <f>E45*F45</f>
        <v>200</v>
      </c>
      <c r="H45" s="616">
        <v>250</v>
      </c>
      <c r="I45" s="496">
        <f>G45+H45</f>
        <v>450</v>
      </c>
      <c r="J45" s="458"/>
      <c r="K45" s="458"/>
      <c r="L45" s="458"/>
      <c r="M45" s="458"/>
      <c r="N45" s="458"/>
      <c r="O45" s="458"/>
      <c r="P45" s="458"/>
      <c r="Q45" s="458"/>
      <c r="R45" s="458"/>
      <c r="S45" s="458"/>
      <c r="T45" s="458"/>
      <c r="U45" s="458"/>
      <c r="V45" s="458"/>
      <c r="W45" s="458"/>
      <c r="X45" s="458"/>
      <c r="Y45" s="458"/>
      <c r="Z45" s="458"/>
      <c r="AA45" s="458"/>
      <c r="AB45" s="458"/>
      <c r="AC45" s="458"/>
      <c r="AD45" s="458"/>
      <c r="AG45" s="458"/>
      <c r="AH45" s="458"/>
      <c r="AI45" s="458"/>
      <c r="AJ45" s="458"/>
      <c r="AK45" s="458"/>
      <c r="AL45" s="458"/>
      <c r="AM45" s="458"/>
      <c r="AN45" s="458"/>
      <c r="AO45" s="458"/>
      <c r="AP45" s="458"/>
      <c r="AQ45" s="458"/>
      <c r="AR45" s="458"/>
      <c r="AS45" s="458"/>
      <c r="AT45" s="458"/>
      <c r="AU45" s="458"/>
      <c r="AV45" s="458"/>
      <c r="AW45" s="458"/>
      <c r="AX45" s="458"/>
      <c r="AY45" s="458"/>
      <c r="AZ45" s="488"/>
      <c r="BA45" s="488"/>
      <c r="BB45" s="488"/>
      <c r="BC45" s="488"/>
      <c r="BD45" s="488"/>
      <c r="BE45" s="488"/>
      <c r="BF45" s="488"/>
      <c r="BG45" s="488"/>
      <c r="BH45" s="488"/>
      <c r="BI45" s="488"/>
      <c r="BJ45" s="488"/>
      <c r="BK45" s="488"/>
      <c r="BL45" s="488"/>
      <c r="BM45" s="488"/>
    </row>
    <row r="46" spans="2:68" x14ac:dyDescent="0.25">
      <c r="B46" s="725" t="s">
        <v>145</v>
      </c>
      <c r="C46" s="726"/>
      <c r="D46" s="495">
        <f>I46/($D$8*1000)</f>
        <v>5.6737588652482269E-4</v>
      </c>
      <c r="E46" s="614">
        <v>16</v>
      </c>
      <c r="F46" s="462">
        <f t="shared" si="8"/>
        <v>50</v>
      </c>
      <c r="G46" s="462">
        <f t="shared" ref="G46:G52" si="9">E46*F46</f>
        <v>800</v>
      </c>
      <c r="H46" s="619">
        <v>0</v>
      </c>
      <c r="I46" s="496">
        <f t="shared" ref="I46:I52" si="10">G46+H46</f>
        <v>800</v>
      </c>
      <c r="J46" s="458"/>
      <c r="K46" s="458"/>
      <c r="L46" s="458"/>
      <c r="M46" s="458"/>
      <c r="N46" s="458"/>
      <c r="O46" s="458"/>
      <c r="P46" s="458"/>
      <c r="Q46" s="458"/>
      <c r="R46" s="458"/>
      <c r="S46" s="458"/>
      <c r="T46" s="458"/>
      <c r="U46" s="458"/>
      <c r="V46" s="458"/>
      <c r="W46" s="458"/>
      <c r="X46" s="458"/>
      <c r="Y46" s="458"/>
      <c r="Z46" s="458"/>
      <c r="AA46" s="458"/>
      <c r="AB46" s="458"/>
      <c r="AC46" s="458"/>
      <c r="AD46" s="458"/>
      <c r="AG46" s="458"/>
      <c r="AH46" s="458"/>
      <c r="AI46" s="458"/>
      <c r="AJ46" s="458"/>
      <c r="AK46" s="458"/>
      <c r="AL46" s="458"/>
      <c r="AM46" s="458"/>
      <c r="AN46" s="458"/>
      <c r="AO46" s="458"/>
      <c r="AP46" s="458"/>
      <c r="AQ46" s="458"/>
      <c r="AR46" s="458"/>
      <c r="AS46" s="458"/>
      <c r="AT46" s="458"/>
      <c r="AU46" s="458"/>
      <c r="AV46" s="458"/>
      <c r="AW46" s="458"/>
      <c r="AX46" s="458"/>
      <c r="AY46" s="458"/>
      <c r="AZ46" s="488"/>
      <c r="BA46" s="488"/>
      <c r="BB46" s="488"/>
      <c r="BC46" s="488"/>
      <c r="BD46" s="488"/>
      <c r="BE46" s="488"/>
      <c r="BF46" s="488"/>
      <c r="BG46" s="488"/>
      <c r="BH46" s="488"/>
      <c r="BI46" s="488"/>
      <c r="BJ46" s="488"/>
      <c r="BK46" s="488"/>
      <c r="BL46" s="488"/>
      <c r="BM46" s="488"/>
    </row>
    <row r="47" spans="2:68" x14ac:dyDescent="0.25">
      <c r="B47" s="725" t="s">
        <v>146</v>
      </c>
      <c r="C47" s="726"/>
      <c r="D47" s="495">
        <f t="shared" ref="D47:D53" si="11">I47/($D$8*1000)</f>
        <v>5.6737588652482269E-4</v>
      </c>
      <c r="E47" s="614">
        <v>16</v>
      </c>
      <c r="F47" s="462">
        <f t="shared" si="8"/>
        <v>50</v>
      </c>
      <c r="G47" s="462">
        <f t="shared" si="9"/>
        <v>800</v>
      </c>
      <c r="H47" s="619">
        <v>0</v>
      </c>
      <c r="I47" s="496">
        <f t="shared" si="10"/>
        <v>800</v>
      </c>
      <c r="J47" s="458"/>
      <c r="K47" s="458"/>
      <c r="L47" s="458"/>
      <c r="M47" s="458"/>
      <c r="N47" s="458"/>
      <c r="O47" s="458"/>
      <c r="P47" s="458"/>
      <c r="Q47" s="458"/>
      <c r="R47" s="458"/>
      <c r="S47" s="458"/>
      <c r="T47" s="458"/>
      <c r="U47" s="458"/>
      <c r="V47" s="458"/>
      <c r="W47" s="458"/>
      <c r="X47" s="458"/>
      <c r="Y47" s="458"/>
      <c r="Z47" s="458"/>
      <c r="AA47" s="458"/>
      <c r="AB47" s="458"/>
      <c r="AC47" s="458"/>
      <c r="AD47" s="458"/>
      <c r="AG47" s="458"/>
      <c r="AH47" s="458"/>
      <c r="AI47" s="458"/>
      <c r="AJ47" s="458"/>
      <c r="AK47" s="458"/>
      <c r="AL47" s="458"/>
      <c r="AM47" s="458"/>
      <c r="AN47" s="458"/>
      <c r="AO47" s="458"/>
      <c r="AP47" s="458"/>
      <c r="AQ47" s="458"/>
      <c r="AR47" s="458"/>
      <c r="AS47" s="458"/>
      <c r="AT47" s="458"/>
      <c r="AU47" s="458"/>
      <c r="AV47" s="458"/>
      <c r="AW47" s="458"/>
      <c r="AX47" s="458"/>
      <c r="AY47" s="458"/>
      <c r="AZ47" s="488"/>
      <c r="BA47" s="488"/>
      <c r="BB47" s="488"/>
      <c r="BC47" s="488"/>
      <c r="BD47" s="488"/>
      <c r="BE47" s="488"/>
      <c r="BF47" s="488"/>
      <c r="BG47" s="488"/>
      <c r="BH47" s="488"/>
      <c r="BI47" s="488"/>
      <c r="BJ47" s="488"/>
      <c r="BK47" s="488"/>
      <c r="BL47" s="488"/>
      <c r="BM47" s="488"/>
    </row>
    <row r="48" spans="2:68" x14ac:dyDescent="0.25">
      <c r="B48" s="725" t="s">
        <v>218</v>
      </c>
      <c r="C48" s="726"/>
      <c r="D48" s="495">
        <f t="shared" si="11"/>
        <v>2.624113475177305E-3</v>
      </c>
      <c r="E48" s="614">
        <v>24</v>
      </c>
      <c r="F48" s="462">
        <f t="shared" si="8"/>
        <v>50</v>
      </c>
      <c r="G48" s="462">
        <f t="shared" si="9"/>
        <v>1200</v>
      </c>
      <c r="H48" s="616">
        <v>2500</v>
      </c>
      <c r="I48" s="496">
        <f t="shared" si="10"/>
        <v>3700</v>
      </c>
      <c r="J48" s="458"/>
      <c r="K48" s="458"/>
      <c r="L48" s="458"/>
      <c r="M48" s="458"/>
      <c r="N48" s="458"/>
      <c r="O48" s="458"/>
      <c r="P48" s="458"/>
      <c r="Q48" s="458"/>
      <c r="R48" s="458"/>
      <c r="S48" s="458"/>
      <c r="T48" s="458"/>
      <c r="U48" s="458"/>
      <c r="V48" s="458"/>
      <c r="W48" s="458"/>
      <c r="X48" s="458"/>
      <c r="Y48" s="458"/>
      <c r="Z48" s="458"/>
      <c r="AA48" s="458"/>
      <c r="AB48" s="458"/>
      <c r="AC48" s="458"/>
      <c r="AD48" s="458"/>
      <c r="AG48" s="458"/>
      <c r="AH48" s="458"/>
      <c r="AI48" s="458"/>
      <c r="AJ48" s="458"/>
      <c r="AK48" s="458"/>
      <c r="AL48" s="458"/>
      <c r="AM48" s="458"/>
      <c r="AN48" s="458"/>
      <c r="AO48" s="458"/>
      <c r="AP48" s="458"/>
      <c r="AQ48" s="458"/>
      <c r="AR48" s="458"/>
      <c r="AS48" s="458"/>
      <c r="AT48" s="458"/>
      <c r="AU48" s="458"/>
      <c r="AV48" s="458"/>
      <c r="AW48" s="458"/>
      <c r="AX48" s="458"/>
      <c r="AY48" s="458"/>
      <c r="AZ48" s="488"/>
      <c r="BA48" s="488"/>
      <c r="BB48" s="488"/>
      <c r="BC48" s="488"/>
      <c r="BD48" s="488"/>
      <c r="BE48" s="488"/>
      <c r="BF48" s="488"/>
      <c r="BG48" s="488"/>
      <c r="BH48" s="488"/>
      <c r="BI48" s="488"/>
      <c r="BJ48" s="488"/>
      <c r="BK48" s="488"/>
      <c r="BL48" s="488"/>
      <c r="BM48" s="488"/>
    </row>
    <row r="49" spans="2:68" x14ac:dyDescent="0.25">
      <c r="B49" s="725" t="s">
        <v>147</v>
      </c>
      <c r="C49" s="726"/>
      <c r="D49" s="495">
        <f t="shared" si="11"/>
        <v>1.3475177304964538E-3</v>
      </c>
      <c r="E49" s="614">
        <v>18</v>
      </c>
      <c r="F49" s="462">
        <f t="shared" si="8"/>
        <v>50</v>
      </c>
      <c r="G49" s="462">
        <f t="shared" si="9"/>
        <v>900</v>
      </c>
      <c r="H49" s="616">
        <v>1000</v>
      </c>
      <c r="I49" s="496">
        <f t="shared" si="10"/>
        <v>1900</v>
      </c>
      <c r="J49" s="458"/>
      <c r="K49" s="458"/>
      <c r="L49" s="458"/>
      <c r="M49" s="458"/>
      <c r="N49" s="458"/>
      <c r="O49" s="458"/>
      <c r="P49" s="458"/>
      <c r="Q49" s="458"/>
      <c r="R49" s="458"/>
      <c r="S49" s="458"/>
      <c r="T49" s="458"/>
      <c r="U49" s="458"/>
      <c r="V49" s="458"/>
      <c r="W49" s="458"/>
      <c r="X49" s="458"/>
      <c r="Y49" s="458"/>
      <c r="Z49" s="458"/>
      <c r="AA49" s="458"/>
      <c r="AB49" s="458"/>
      <c r="AC49" s="458"/>
      <c r="AD49" s="458"/>
      <c r="AG49" s="458"/>
      <c r="AH49" s="458"/>
      <c r="AI49" s="458"/>
      <c r="AJ49" s="458"/>
      <c r="AK49" s="458"/>
      <c r="AL49" s="458"/>
      <c r="AM49" s="458"/>
      <c r="AN49" s="458"/>
      <c r="AO49" s="458"/>
      <c r="AP49" s="458"/>
      <c r="AQ49" s="458"/>
      <c r="AR49" s="458"/>
      <c r="AS49" s="458"/>
      <c r="AT49" s="458"/>
      <c r="AU49" s="458"/>
      <c r="AV49" s="458"/>
      <c r="AW49" s="458"/>
      <c r="AX49" s="458"/>
      <c r="AY49" s="458"/>
      <c r="AZ49" s="488"/>
      <c r="BA49" s="488"/>
      <c r="BB49" s="488"/>
      <c r="BC49" s="488"/>
      <c r="BD49" s="488"/>
      <c r="BE49" s="488"/>
      <c r="BF49" s="488"/>
      <c r="BG49" s="488"/>
      <c r="BH49" s="488"/>
      <c r="BI49" s="488"/>
      <c r="BJ49" s="488"/>
      <c r="BK49" s="488"/>
      <c r="BL49" s="488"/>
      <c r="BM49" s="488"/>
    </row>
    <row r="50" spans="2:68" x14ac:dyDescent="0.25">
      <c r="B50" s="725" t="s">
        <v>148</v>
      </c>
      <c r="C50" s="726"/>
      <c r="D50" s="495">
        <f t="shared" si="11"/>
        <v>2.4822695035460994E-4</v>
      </c>
      <c r="E50" s="614">
        <v>2</v>
      </c>
      <c r="F50" s="462">
        <f t="shared" si="8"/>
        <v>50</v>
      </c>
      <c r="G50" s="462">
        <f t="shared" si="9"/>
        <v>100</v>
      </c>
      <c r="H50" s="616">
        <v>250</v>
      </c>
      <c r="I50" s="496">
        <f t="shared" si="10"/>
        <v>350</v>
      </c>
      <c r="J50" s="458"/>
      <c r="K50" s="458"/>
      <c r="L50" s="458"/>
      <c r="M50" s="458"/>
      <c r="N50" s="458"/>
      <c r="O50" s="458"/>
      <c r="P50" s="458"/>
      <c r="Q50" s="458"/>
      <c r="R50" s="458"/>
      <c r="S50" s="458"/>
      <c r="T50" s="458"/>
      <c r="U50" s="458"/>
      <c r="V50" s="458"/>
      <c r="W50" s="458"/>
      <c r="X50" s="458"/>
      <c r="Y50" s="458"/>
      <c r="Z50" s="458"/>
      <c r="AA50" s="458"/>
      <c r="AB50" s="458"/>
      <c r="AC50" s="458"/>
      <c r="AD50" s="458"/>
      <c r="AG50" s="458"/>
      <c r="AH50" s="458"/>
      <c r="AI50" s="458"/>
      <c r="AJ50" s="458"/>
      <c r="AK50" s="458"/>
      <c r="AL50" s="458"/>
      <c r="AM50" s="458"/>
      <c r="AN50" s="458"/>
      <c r="AO50" s="458"/>
      <c r="AP50" s="458"/>
      <c r="AQ50" s="458"/>
      <c r="AR50" s="458"/>
      <c r="AS50" s="458"/>
      <c r="AT50" s="458"/>
      <c r="AU50" s="458"/>
      <c r="AV50" s="458"/>
      <c r="AW50" s="458"/>
      <c r="AX50" s="458"/>
      <c r="AY50" s="458"/>
      <c r="AZ50" s="488"/>
      <c r="BA50" s="488"/>
      <c r="BB50" s="488"/>
      <c r="BC50" s="488"/>
      <c r="BD50" s="488"/>
      <c r="BE50" s="488"/>
      <c r="BF50" s="488"/>
      <c r="BG50" s="488"/>
      <c r="BH50" s="488"/>
      <c r="BI50" s="488"/>
      <c r="BJ50" s="488"/>
      <c r="BK50" s="488"/>
      <c r="BL50" s="488"/>
      <c r="BM50" s="488"/>
    </row>
    <row r="51" spans="2:68" x14ac:dyDescent="0.25">
      <c r="B51" s="725" t="s">
        <v>149</v>
      </c>
      <c r="C51" s="726"/>
      <c r="D51" s="495">
        <f t="shared" si="11"/>
        <v>4.2553191489361702E-4</v>
      </c>
      <c r="E51" s="614">
        <v>12</v>
      </c>
      <c r="F51" s="462">
        <f t="shared" si="8"/>
        <v>50</v>
      </c>
      <c r="G51" s="462">
        <f t="shared" si="9"/>
        <v>600</v>
      </c>
      <c r="H51" s="619">
        <v>0</v>
      </c>
      <c r="I51" s="496">
        <f t="shared" si="10"/>
        <v>600</v>
      </c>
      <c r="J51" s="458"/>
      <c r="K51" s="458"/>
      <c r="L51" s="458"/>
      <c r="M51" s="458"/>
      <c r="N51" s="458"/>
      <c r="O51" s="458"/>
      <c r="P51" s="458"/>
      <c r="Q51" s="458"/>
      <c r="R51" s="458"/>
      <c r="S51" s="458"/>
      <c r="T51" s="458"/>
      <c r="U51" s="458"/>
      <c r="V51" s="458"/>
      <c r="W51" s="458"/>
      <c r="X51" s="458"/>
      <c r="Y51" s="458"/>
      <c r="Z51" s="458"/>
      <c r="AA51" s="458"/>
      <c r="AB51" s="458"/>
      <c r="AC51" s="458"/>
      <c r="AD51" s="458"/>
      <c r="AG51" s="458"/>
      <c r="AH51" s="458"/>
      <c r="AI51" s="458"/>
      <c r="AJ51" s="458"/>
      <c r="AK51" s="458"/>
      <c r="AL51" s="458"/>
      <c r="AM51" s="458"/>
      <c r="AN51" s="458"/>
      <c r="AO51" s="458"/>
      <c r="AP51" s="458"/>
      <c r="AQ51" s="458"/>
      <c r="AR51" s="458"/>
      <c r="AS51" s="458"/>
      <c r="AT51" s="458"/>
      <c r="AU51" s="458"/>
      <c r="AV51" s="458"/>
      <c r="AW51" s="458"/>
      <c r="AX51" s="458"/>
      <c r="AY51" s="458"/>
      <c r="AZ51" s="488"/>
      <c r="BA51" s="488"/>
      <c r="BB51" s="488"/>
      <c r="BC51" s="488"/>
      <c r="BD51" s="488"/>
      <c r="BE51" s="488"/>
      <c r="BF51" s="488"/>
      <c r="BG51" s="488"/>
      <c r="BH51" s="488"/>
      <c r="BI51" s="488"/>
      <c r="BJ51" s="488"/>
      <c r="BK51" s="488"/>
      <c r="BL51" s="488"/>
      <c r="BM51" s="488"/>
    </row>
    <row r="52" spans="2:68" x14ac:dyDescent="0.25">
      <c r="B52" s="725" t="s">
        <v>150</v>
      </c>
      <c r="C52" s="726"/>
      <c r="D52" s="495">
        <f t="shared" si="11"/>
        <v>7.0921985815602842E-4</v>
      </c>
      <c r="E52" s="614">
        <v>20</v>
      </c>
      <c r="F52" s="462">
        <f t="shared" si="8"/>
        <v>50</v>
      </c>
      <c r="G52" s="462">
        <f t="shared" si="9"/>
        <v>1000</v>
      </c>
      <c r="H52" s="619">
        <v>0</v>
      </c>
      <c r="I52" s="496">
        <f t="shared" si="10"/>
        <v>1000</v>
      </c>
      <c r="J52" s="458"/>
      <c r="K52" s="458"/>
      <c r="L52" s="458"/>
      <c r="M52" s="458"/>
      <c r="N52" s="458"/>
      <c r="O52" s="458"/>
      <c r="P52" s="458"/>
      <c r="Q52" s="458"/>
      <c r="R52" s="458"/>
      <c r="S52" s="458"/>
      <c r="T52" s="458"/>
      <c r="U52" s="458"/>
      <c r="V52" s="458"/>
      <c r="W52" s="458"/>
      <c r="X52" s="458"/>
      <c r="Y52" s="458"/>
      <c r="Z52" s="458"/>
      <c r="AA52" s="458"/>
      <c r="AB52" s="458"/>
      <c r="AC52" s="458"/>
      <c r="AD52" s="458"/>
      <c r="AG52" s="458"/>
      <c r="AH52" s="458"/>
      <c r="AI52" s="458"/>
      <c r="AJ52" s="458"/>
      <c r="AK52" s="458"/>
      <c r="AL52" s="458"/>
      <c r="AM52" s="458"/>
      <c r="AN52" s="458"/>
      <c r="AO52" s="458"/>
      <c r="AP52" s="458"/>
      <c r="AQ52" s="458"/>
      <c r="AR52" s="458"/>
      <c r="AS52" s="458"/>
      <c r="AT52" s="458"/>
      <c r="AU52" s="458"/>
      <c r="AV52" s="458"/>
      <c r="AW52" s="458"/>
      <c r="AX52" s="458"/>
      <c r="AY52" s="458"/>
      <c r="AZ52" s="488"/>
      <c r="BA52" s="488"/>
      <c r="BB52" s="488"/>
      <c r="BC52" s="488"/>
      <c r="BD52" s="488"/>
      <c r="BE52" s="488"/>
      <c r="BF52" s="488"/>
      <c r="BG52" s="488"/>
      <c r="BH52" s="488"/>
      <c r="BI52" s="488"/>
      <c r="BJ52" s="488"/>
      <c r="BK52" s="488"/>
      <c r="BL52" s="488"/>
      <c r="BM52" s="488"/>
    </row>
    <row r="53" spans="2:68" ht="15.75" thickBot="1" x14ac:dyDescent="0.3">
      <c r="B53" s="742" t="s">
        <v>151</v>
      </c>
      <c r="C53" s="743"/>
      <c r="D53" s="501">
        <f t="shared" si="11"/>
        <v>2.1276595744680851E-4</v>
      </c>
      <c r="E53" s="615">
        <v>6</v>
      </c>
      <c r="F53" s="502">
        <f>$D$13</f>
        <v>50</v>
      </c>
      <c r="G53" s="473">
        <f>E53*F53</f>
        <v>300</v>
      </c>
      <c r="H53" s="620">
        <v>0</v>
      </c>
      <c r="I53" s="503">
        <f>G53+H53</f>
        <v>300</v>
      </c>
      <c r="J53" s="458"/>
      <c r="K53" s="458"/>
      <c r="L53" s="458"/>
      <c r="M53" s="458"/>
      <c r="N53" s="458"/>
      <c r="O53" s="458"/>
      <c r="P53" s="458"/>
      <c r="Q53" s="458"/>
      <c r="R53" s="458"/>
      <c r="S53" s="458"/>
      <c r="T53" s="458"/>
      <c r="U53" s="458"/>
      <c r="V53" s="458"/>
      <c r="W53" s="458"/>
      <c r="X53" s="458"/>
      <c r="Y53" s="458"/>
      <c r="Z53" s="458"/>
      <c r="AA53" s="458"/>
      <c r="AB53" s="458"/>
      <c r="AC53" s="458"/>
      <c r="AD53" s="458"/>
      <c r="AG53" s="458"/>
      <c r="AH53" s="458"/>
      <c r="AI53" s="458"/>
      <c r="AJ53" s="458"/>
      <c r="AK53" s="458"/>
      <c r="AL53" s="458"/>
      <c r="AM53" s="458"/>
      <c r="AN53" s="458"/>
      <c r="AO53" s="458"/>
      <c r="AP53" s="458"/>
      <c r="AQ53" s="458"/>
      <c r="AR53" s="458"/>
      <c r="AS53" s="458"/>
      <c r="AT53" s="458"/>
      <c r="AU53" s="458"/>
      <c r="AV53" s="458"/>
      <c r="AW53" s="458"/>
      <c r="AX53" s="458"/>
      <c r="AY53" s="458"/>
      <c r="AZ53" s="488"/>
      <c r="BA53" s="488"/>
      <c r="BB53" s="488"/>
      <c r="BC53" s="488"/>
      <c r="BD53" s="488"/>
      <c r="BE53" s="488"/>
      <c r="BF53" s="488"/>
      <c r="BG53" s="488"/>
      <c r="BH53" s="488"/>
      <c r="BI53" s="488"/>
      <c r="BJ53" s="488"/>
      <c r="BK53" s="488"/>
      <c r="BL53" s="488"/>
      <c r="BM53" s="488"/>
    </row>
    <row r="54" spans="2:68" ht="15.75" thickBot="1" x14ac:dyDescent="0.3">
      <c r="D54" s="504"/>
      <c r="F54" s="458"/>
      <c r="G54" s="506">
        <f>SUM(G45:G53)</f>
        <v>5900</v>
      </c>
      <c r="H54" s="507">
        <f>SUM(H45:H53)</f>
        <v>4000</v>
      </c>
      <c r="I54" s="508">
        <f>SUM(I45:I53)</f>
        <v>9900</v>
      </c>
      <c r="J54" s="458"/>
      <c r="K54" s="458"/>
      <c r="L54" s="458"/>
      <c r="M54" s="458"/>
      <c r="N54" s="458"/>
      <c r="O54" s="458"/>
      <c r="P54" s="458"/>
      <c r="Q54" s="458"/>
      <c r="R54" s="458"/>
      <c r="S54" s="458"/>
      <c r="T54" s="458"/>
      <c r="U54" s="458"/>
      <c r="V54" s="458"/>
      <c r="W54" s="458"/>
      <c r="X54" s="458"/>
      <c r="Y54" s="458"/>
      <c r="Z54" s="458"/>
      <c r="AA54" s="458"/>
      <c r="AB54" s="458"/>
      <c r="AC54" s="458"/>
      <c r="AD54" s="458"/>
      <c r="AG54" s="458"/>
      <c r="AH54" s="458"/>
      <c r="AI54" s="458"/>
      <c r="AJ54" s="458"/>
      <c r="AK54" s="458"/>
      <c r="AL54" s="458"/>
      <c r="AM54" s="458"/>
      <c r="AN54" s="458"/>
      <c r="AO54" s="458"/>
      <c r="AP54" s="458"/>
      <c r="AQ54" s="458"/>
      <c r="AR54" s="458"/>
      <c r="AS54" s="458"/>
      <c r="AT54" s="458"/>
      <c r="AU54" s="458"/>
      <c r="AV54" s="458"/>
      <c r="AW54" s="458"/>
      <c r="AX54" s="458"/>
      <c r="AY54" s="458"/>
      <c r="AZ54" s="488"/>
      <c r="BA54" s="488"/>
      <c r="BB54" s="488"/>
      <c r="BC54" s="488"/>
      <c r="BD54" s="488"/>
      <c r="BE54" s="488"/>
      <c r="BF54" s="488"/>
      <c r="BG54" s="488"/>
      <c r="BH54" s="488"/>
      <c r="BI54" s="488"/>
      <c r="BJ54" s="488"/>
      <c r="BK54" s="488"/>
      <c r="BL54" s="488"/>
      <c r="BM54" s="488"/>
    </row>
    <row r="55" spans="2:68" ht="15.75" thickBot="1" x14ac:dyDescent="0.3">
      <c r="D55" s="504"/>
      <c r="F55" s="458"/>
      <c r="G55" s="458"/>
      <c r="H55" s="458"/>
      <c r="I55" s="509"/>
      <c r="J55" s="458"/>
      <c r="K55" s="458"/>
      <c r="P55" s="458"/>
      <c r="Q55" s="458"/>
      <c r="R55" s="458"/>
      <c r="S55" s="458"/>
      <c r="T55" s="458"/>
      <c r="U55" s="458"/>
      <c r="V55" s="458"/>
      <c r="W55" s="458"/>
      <c r="X55" s="458"/>
      <c r="Y55" s="458"/>
      <c r="Z55" s="458"/>
      <c r="AA55" s="458"/>
      <c r="AB55" s="458"/>
      <c r="AC55" s="458"/>
      <c r="AD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88"/>
      <c r="BD55" s="488"/>
      <c r="BE55" s="488"/>
      <c r="BF55" s="488"/>
      <c r="BG55" s="488"/>
      <c r="BH55" s="488"/>
      <c r="BI55" s="488"/>
      <c r="BJ55" s="488"/>
      <c r="BK55" s="488"/>
      <c r="BL55" s="488"/>
      <c r="BM55" s="488"/>
      <c r="BN55" s="488"/>
      <c r="BO55" s="488"/>
      <c r="BP55" s="488"/>
    </row>
    <row r="56" spans="2:68" x14ac:dyDescent="0.25">
      <c r="B56" s="738" t="s">
        <v>122</v>
      </c>
      <c r="C56" s="739"/>
      <c r="D56" s="492" t="s">
        <v>21</v>
      </c>
      <c r="E56" s="493" t="s">
        <v>178</v>
      </c>
      <c r="F56" s="493" t="s">
        <v>174</v>
      </c>
      <c r="G56" s="493" t="s">
        <v>179</v>
      </c>
      <c r="H56" s="493" t="s">
        <v>180</v>
      </c>
      <c r="I56" s="494" t="s">
        <v>139</v>
      </c>
      <c r="L56" s="458"/>
      <c r="M56" s="458"/>
      <c r="N56" s="458"/>
      <c r="O56" s="458"/>
      <c r="BB56" s="451"/>
    </row>
    <row r="57" spans="2:68" x14ac:dyDescent="0.25">
      <c r="B57" s="725" t="s">
        <v>149</v>
      </c>
      <c r="C57" s="726"/>
      <c r="D57" s="495">
        <f>I57/($D$8*1000)</f>
        <v>5.6737588652482269E-4</v>
      </c>
      <c r="E57" s="614">
        <v>16</v>
      </c>
      <c r="F57" s="462">
        <f>$D$13</f>
        <v>50</v>
      </c>
      <c r="G57" s="462">
        <f>E57*F57</f>
        <v>800</v>
      </c>
      <c r="H57" s="311">
        <v>0</v>
      </c>
      <c r="I57" s="496">
        <f>G57+H57</f>
        <v>800</v>
      </c>
      <c r="J57" s="458"/>
      <c r="K57" s="458"/>
      <c r="L57" s="458"/>
      <c r="M57" s="458"/>
      <c r="N57" s="458"/>
      <c r="O57" s="458"/>
      <c r="P57" s="458"/>
      <c r="Q57" s="458"/>
      <c r="R57" s="458"/>
      <c r="S57" s="458"/>
      <c r="T57" s="458"/>
      <c r="U57" s="458"/>
      <c r="V57" s="458"/>
      <c r="W57" s="458"/>
      <c r="X57" s="458"/>
      <c r="Y57" s="458"/>
      <c r="Z57" s="458"/>
      <c r="AA57" s="458"/>
      <c r="AB57" s="458"/>
      <c r="AC57" s="458"/>
      <c r="AD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88"/>
      <c r="BD57" s="488"/>
      <c r="BE57" s="488"/>
      <c r="BF57" s="488"/>
      <c r="BG57" s="488"/>
      <c r="BH57" s="488"/>
      <c r="BI57" s="488"/>
      <c r="BJ57" s="488"/>
      <c r="BK57" s="488"/>
      <c r="BL57" s="488"/>
      <c r="BM57" s="488"/>
      <c r="BN57" s="488"/>
      <c r="BO57" s="488"/>
      <c r="BP57" s="488"/>
    </row>
    <row r="58" spans="2:68" x14ac:dyDescent="0.25">
      <c r="B58" s="725" t="s">
        <v>150</v>
      </c>
      <c r="C58" s="726"/>
      <c r="D58" s="495">
        <f t="shared" ref="D58:D59" si="12">I58/($D$8*1000)</f>
        <v>7.0921985815602842E-4</v>
      </c>
      <c r="E58" s="614">
        <v>20</v>
      </c>
      <c r="F58" s="462">
        <f>$D$13</f>
        <v>50</v>
      </c>
      <c r="G58" s="462">
        <f>E58*F58</f>
        <v>1000</v>
      </c>
      <c r="H58" s="311">
        <v>0</v>
      </c>
      <c r="I58" s="496">
        <f>G58+H58</f>
        <v>1000</v>
      </c>
      <c r="J58" s="458"/>
      <c r="K58" s="458"/>
      <c r="L58" s="458"/>
      <c r="M58" s="458"/>
      <c r="N58" s="458"/>
      <c r="O58" s="458"/>
      <c r="P58" s="458"/>
      <c r="Q58" s="458"/>
      <c r="R58" s="458"/>
      <c r="S58" s="458"/>
      <c r="T58" s="458"/>
      <c r="U58" s="458"/>
      <c r="V58" s="458"/>
      <c r="W58" s="458"/>
      <c r="X58" s="458"/>
      <c r="Y58" s="458"/>
      <c r="Z58" s="458"/>
      <c r="AA58" s="458"/>
      <c r="AB58" s="458"/>
      <c r="AC58" s="458"/>
      <c r="AD58" s="458"/>
      <c r="AG58" s="458"/>
      <c r="AH58" s="458"/>
      <c r="AI58" s="458"/>
      <c r="AJ58" s="458"/>
      <c r="AK58" s="458"/>
      <c r="AL58" s="458"/>
      <c r="AM58" s="458"/>
      <c r="AN58" s="458"/>
      <c r="AO58" s="458"/>
      <c r="AP58" s="458"/>
      <c r="AQ58" s="458"/>
      <c r="AR58" s="458"/>
      <c r="AS58" s="458"/>
      <c r="AT58" s="458"/>
      <c r="AU58" s="458"/>
      <c r="AV58" s="458"/>
      <c r="AW58" s="458"/>
      <c r="AX58" s="458"/>
      <c r="AY58" s="458"/>
      <c r="AZ58" s="458"/>
      <c r="BA58" s="458"/>
      <c r="BB58" s="458"/>
      <c r="BC58" s="488"/>
      <c r="BD58" s="488"/>
      <c r="BE58" s="488"/>
      <c r="BF58" s="488"/>
      <c r="BG58" s="488"/>
      <c r="BH58" s="488"/>
      <c r="BI58" s="488"/>
      <c r="BJ58" s="488"/>
      <c r="BK58" s="488"/>
      <c r="BL58" s="488"/>
      <c r="BM58" s="488"/>
      <c r="BN58" s="488"/>
      <c r="BO58" s="488"/>
      <c r="BP58" s="488"/>
    </row>
    <row r="59" spans="2:68" ht="15.75" thickBot="1" x14ac:dyDescent="0.3">
      <c r="B59" s="742" t="s">
        <v>152</v>
      </c>
      <c r="C59" s="743"/>
      <c r="D59" s="501">
        <f t="shared" si="12"/>
        <v>4.2553191489361702E-4</v>
      </c>
      <c r="E59" s="615">
        <v>12</v>
      </c>
      <c r="F59" s="502">
        <f>$D$13</f>
        <v>50</v>
      </c>
      <c r="G59" s="473">
        <f>E59*F59</f>
        <v>600</v>
      </c>
      <c r="H59" s="312">
        <v>0</v>
      </c>
      <c r="I59" s="503">
        <f>G59+H59</f>
        <v>600</v>
      </c>
      <c r="J59" s="458"/>
      <c r="K59" s="458"/>
      <c r="L59" s="458"/>
      <c r="M59" s="458"/>
      <c r="N59" s="458"/>
      <c r="O59" s="458"/>
      <c r="P59" s="458"/>
      <c r="Q59" s="458"/>
      <c r="R59" s="458"/>
      <c r="S59" s="458"/>
      <c r="T59" s="458"/>
      <c r="U59" s="458"/>
      <c r="V59" s="458"/>
      <c r="W59" s="458"/>
      <c r="X59" s="458"/>
      <c r="Y59" s="458"/>
      <c r="Z59" s="458"/>
      <c r="AA59" s="458"/>
      <c r="AB59" s="458"/>
      <c r="AC59" s="458"/>
      <c r="AD59" s="458"/>
      <c r="AG59" s="458"/>
      <c r="AH59" s="458"/>
      <c r="AI59" s="458"/>
      <c r="AJ59" s="458"/>
      <c r="AK59" s="458"/>
      <c r="AL59" s="458"/>
      <c r="AM59" s="458"/>
      <c r="AN59" s="458"/>
      <c r="AO59" s="458"/>
      <c r="AP59" s="458"/>
      <c r="AQ59" s="458"/>
      <c r="AR59" s="458"/>
      <c r="AS59" s="458"/>
      <c r="AT59" s="458"/>
      <c r="AU59" s="458"/>
      <c r="AV59" s="458"/>
      <c r="AW59" s="458"/>
      <c r="AX59" s="458"/>
      <c r="AY59" s="458"/>
      <c r="AZ59" s="458"/>
      <c r="BA59" s="458"/>
      <c r="BB59" s="458"/>
      <c r="BC59" s="488"/>
      <c r="BD59" s="488"/>
      <c r="BE59" s="488"/>
      <c r="BF59" s="488"/>
      <c r="BG59" s="488"/>
      <c r="BH59" s="488"/>
      <c r="BI59" s="488"/>
      <c r="BJ59" s="488"/>
      <c r="BK59" s="488"/>
      <c r="BL59" s="488"/>
      <c r="BM59" s="488"/>
      <c r="BN59" s="488"/>
      <c r="BO59" s="488"/>
      <c r="BP59" s="488"/>
    </row>
    <row r="60" spans="2:68" ht="15.75" thickBot="1" x14ac:dyDescent="0.3">
      <c r="D60" s="504"/>
      <c r="F60" s="458"/>
      <c r="G60" s="506">
        <f>SUM(G57:G59)</f>
        <v>2400</v>
      </c>
      <c r="H60" s="507">
        <f t="shared" ref="H60:I60" si="13">SUM(H57:H59)</f>
        <v>0</v>
      </c>
      <c r="I60" s="508">
        <f t="shared" si="13"/>
        <v>2400</v>
      </c>
      <c r="J60" s="458"/>
      <c r="K60" s="458"/>
      <c r="L60" s="497"/>
      <c r="M60" s="458"/>
      <c r="N60" s="458"/>
      <c r="O60" s="458"/>
      <c r="P60" s="458"/>
      <c r="Q60" s="458"/>
      <c r="R60" s="458"/>
      <c r="S60" s="458"/>
      <c r="T60" s="458"/>
      <c r="U60" s="458"/>
      <c r="V60" s="458"/>
      <c r="W60" s="458"/>
      <c r="X60" s="458"/>
      <c r="Y60" s="458"/>
      <c r="Z60" s="458"/>
      <c r="AA60" s="458"/>
      <c r="AB60" s="458"/>
      <c r="AC60" s="458"/>
      <c r="AD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88"/>
      <c r="BD60" s="488"/>
      <c r="BE60" s="488"/>
      <c r="BF60" s="488"/>
      <c r="BG60" s="488"/>
      <c r="BH60" s="488"/>
      <c r="BI60" s="488"/>
      <c r="BJ60" s="488"/>
      <c r="BK60" s="488"/>
      <c r="BL60" s="488"/>
      <c r="BM60" s="488"/>
      <c r="BN60" s="488"/>
      <c r="BO60" s="488"/>
      <c r="BP60" s="488"/>
    </row>
    <row r="61" spans="2:68" ht="15.75" thickBot="1" x14ac:dyDescent="0.3">
      <c r="D61" s="504"/>
      <c r="F61" s="458"/>
      <c r="G61" s="477"/>
      <c r="H61" s="477"/>
      <c r="I61" s="477"/>
      <c r="J61" s="458"/>
      <c r="K61" s="458"/>
      <c r="P61" s="458"/>
      <c r="Q61" s="458"/>
      <c r="R61" s="458"/>
      <c r="S61" s="458"/>
      <c r="T61" s="458"/>
      <c r="U61" s="458"/>
      <c r="V61" s="458"/>
      <c r="W61" s="458"/>
      <c r="X61" s="458"/>
      <c r="Y61" s="458"/>
      <c r="Z61" s="458"/>
      <c r="AA61" s="458"/>
      <c r="AB61" s="458"/>
      <c r="AC61" s="458"/>
      <c r="AD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88"/>
      <c r="BD61" s="488"/>
      <c r="BE61" s="488"/>
      <c r="BF61" s="488"/>
      <c r="BG61" s="488"/>
      <c r="BH61" s="488"/>
      <c r="BI61" s="488"/>
      <c r="BJ61" s="488"/>
      <c r="BK61" s="488"/>
      <c r="BL61" s="488"/>
      <c r="BM61" s="488"/>
      <c r="BN61" s="488"/>
      <c r="BO61" s="488"/>
      <c r="BP61" s="488"/>
    </row>
    <row r="62" spans="2:68" x14ac:dyDescent="0.25">
      <c r="B62" s="738" t="s">
        <v>153</v>
      </c>
      <c r="C62" s="739"/>
      <c r="D62" s="492" t="s">
        <v>21</v>
      </c>
      <c r="E62" s="493" t="s">
        <v>178</v>
      </c>
      <c r="F62" s="493" t="s">
        <v>174</v>
      </c>
      <c r="G62" s="493" t="s">
        <v>179</v>
      </c>
      <c r="H62" s="493" t="s">
        <v>180</v>
      </c>
      <c r="I62" s="494" t="s">
        <v>139</v>
      </c>
      <c r="L62" s="458"/>
      <c r="M62" s="458"/>
      <c r="N62" s="458"/>
      <c r="O62" s="458"/>
      <c r="BB62" s="451"/>
    </row>
    <row r="63" spans="2:68" x14ac:dyDescent="0.25">
      <c r="B63" s="749" t="s">
        <v>154</v>
      </c>
      <c r="C63" s="750"/>
      <c r="D63" s="495">
        <f>IF('Key_Assumptions_&amp;_Inputs'!$E$11="Power Purchase Agreement","N/A",I63/($D$8*1000))</f>
        <v>7.0921985815602842E-4</v>
      </c>
      <c r="E63" s="614">
        <v>20</v>
      </c>
      <c r="F63" s="462">
        <f>$D$13</f>
        <v>50</v>
      </c>
      <c r="G63" s="462">
        <f>E63*F63</f>
        <v>1000</v>
      </c>
      <c r="H63" s="311">
        <v>0</v>
      </c>
      <c r="I63" s="496">
        <f>G63+H63</f>
        <v>1000</v>
      </c>
      <c r="J63" s="458"/>
      <c r="K63" s="458"/>
      <c r="L63" s="458"/>
      <c r="M63" s="458"/>
      <c r="N63" s="458"/>
      <c r="O63" s="458"/>
      <c r="P63" s="458"/>
      <c r="Q63" s="458"/>
      <c r="R63" s="458"/>
      <c r="S63" s="458"/>
      <c r="T63" s="458"/>
      <c r="U63" s="458"/>
      <c r="V63" s="458"/>
      <c r="W63" s="458"/>
      <c r="X63" s="458"/>
      <c r="Y63" s="458"/>
      <c r="Z63" s="458"/>
      <c r="AA63" s="458"/>
      <c r="AB63" s="458"/>
      <c r="AC63" s="458"/>
      <c r="AD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88"/>
      <c r="BD63" s="488"/>
      <c r="BE63" s="488"/>
      <c r="BF63" s="488"/>
      <c r="BG63" s="488"/>
      <c r="BH63" s="488"/>
      <c r="BI63" s="488"/>
      <c r="BJ63" s="488"/>
      <c r="BK63" s="488"/>
      <c r="BL63" s="488"/>
      <c r="BM63" s="488"/>
      <c r="BN63" s="488"/>
      <c r="BO63" s="488"/>
      <c r="BP63" s="488"/>
    </row>
    <row r="64" spans="2:68" ht="15.75" thickBot="1" x14ac:dyDescent="0.3">
      <c r="B64" s="751" t="s">
        <v>152</v>
      </c>
      <c r="C64" s="752"/>
      <c r="D64" s="501">
        <f>IF('Key_Assumptions_&amp;_Inputs'!$E$11="Power Purchase Agreement","N/A",I64/($D$8*1000))</f>
        <v>2.8368794326241134E-4</v>
      </c>
      <c r="E64" s="615">
        <v>8</v>
      </c>
      <c r="F64" s="502">
        <f>$D$13</f>
        <v>50</v>
      </c>
      <c r="G64" s="473">
        <f>E64*F64</f>
        <v>400</v>
      </c>
      <c r="H64" s="312">
        <v>0</v>
      </c>
      <c r="I64" s="512">
        <f>G64+H64</f>
        <v>400</v>
      </c>
      <c r="J64" s="458"/>
      <c r="K64" s="458"/>
      <c r="L64" s="458"/>
      <c r="M64" s="458"/>
      <c r="N64" s="458"/>
      <c r="O64" s="458"/>
      <c r="P64" s="458"/>
      <c r="Q64" s="458"/>
      <c r="R64" s="458"/>
      <c r="S64" s="458"/>
      <c r="T64" s="458"/>
      <c r="U64" s="458"/>
      <c r="V64" s="458"/>
      <c r="W64" s="458"/>
      <c r="X64" s="458"/>
      <c r="Y64" s="458"/>
      <c r="Z64" s="458"/>
      <c r="AA64" s="458"/>
      <c r="AB64" s="458"/>
      <c r="AC64" s="458"/>
      <c r="AD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88"/>
      <c r="BD64" s="488"/>
      <c r="BE64" s="488"/>
      <c r="BF64" s="488"/>
      <c r="BG64" s="488"/>
      <c r="BH64" s="488"/>
      <c r="BI64" s="488"/>
      <c r="BJ64" s="488"/>
      <c r="BK64" s="488"/>
      <c r="BL64" s="488"/>
      <c r="BM64" s="488"/>
      <c r="BN64" s="488"/>
      <c r="BO64" s="488"/>
      <c r="BP64" s="488"/>
    </row>
    <row r="65" spans="2:68" ht="15.75" thickBot="1" x14ac:dyDescent="0.3">
      <c r="D65" s="504"/>
      <c r="F65" s="458"/>
      <c r="G65" s="506">
        <f>SUM(G63:G64)</f>
        <v>1400</v>
      </c>
      <c r="H65" s="507">
        <f t="shared" ref="H65:I65" si="14">SUM(H63:H64)</f>
        <v>0</v>
      </c>
      <c r="I65" s="508">
        <f t="shared" si="14"/>
        <v>1400</v>
      </c>
      <c r="J65" s="458"/>
      <c r="K65" s="458"/>
      <c r="L65" s="497"/>
      <c r="M65" s="458"/>
      <c r="N65" s="458"/>
      <c r="O65" s="458"/>
      <c r="P65" s="458"/>
      <c r="Q65" s="458"/>
      <c r="R65" s="458"/>
      <c r="S65" s="458"/>
      <c r="T65" s="458"/>
      <c r="U65" s="458"/>
      <c r="V65" s="458"/>
      <c r="W65" s="458"/>
      <c r="X65" s="458"/>
      <c r="Y65" s="458"/>
      <c r="Z65" s="458"/>
      <c r="AA65" s="458"/>
      <c r="AB65" s="458"/>
      <c r="AC65" s="458"/>
      <c r="AD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88"/>
      <c r="BD65" s="488"/>
      <c r="BE65" s="488"/>
      <c r="BF65" s="488"/>
      <c r="BG65" s="488"/>
      <c r="BH65" s="488"/>
      <c r="BI65" s="488"/>
      <c r="BJ65" s="488"/>
      <c r="BK65" s="488"/>
      <c r="BL65" s="488"/>
      <c r="BM65" s="488"/>
      <c r="BN65" s="488"/>
      <c r="BO65" s="488"/>
      <c r="BP65" s="488"/>
    </row>
    <row r="66" spans="2:68" ht="15.75" thickBot="1" x14ac:dyDescent="0.3">
      <c r="D66" s="504"/>
      <c r="F66" s="458"/>
      <c r="G66" s="458"/>
      <c r="H66" s="458"/>
      <c r="I66" s="509"/>
      <c r="J66" s="458"/>
      <c r="K66" s="458"/>
      <c r="L66" s="497"/>
      <c r="M66" s="458"/>
      <c r="N66" s="458"/>
      <c r="O66" s="458"/>
      <c r="P66" s="458"/>
      <c r="Q66" s="458"/>
      <c r="R66" s="458"/>
      <c r="S66" s="458"/>
      <c r="T66" s="458"/>
      <c r="U66" s="458"/>
      <c r="V66" s="458"/>
      <c r="W66" s="458"/>
      <c r="X66" s="458"/>
      <c r="Y66" s="458"/>
      <c r="Z66" s="458"/>
      <c r="AA66" s="458"/>
      <c r="AB66" s="458"/>
      <c r="AC66" s="458"/>
      <c r="AD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88"/>
      <c r="BD66" s="488"/>
      <c r="BE66" s="488"/>
      <c r="BF66" s="488"/>
      <c r="BG66" s="488"/>
      <c r="BH66" s="488"/>
      <c r="BI66" s="488"/>
      <c r="BJ66" s="488"/>
      <c r="BK66" s="488"/>
      <c r="BL66" s="488"/>
      <c r="BM66" s="488"/>
      <c r="BN66" s="488"/>
      <c r="BO66" s="488"/>
      <c r="BP66" s="488"/>
    </row>
    <row r="67" spans="2:68" x14ac:dyDescent="0.25">
      <c r="B67" s="753" t="s">
        <v>133</v>
      </c>
      <c r="C67" s="754"/>
      <c r="D67" s="492" t="s">
        <v>21</v>
      </c>
      <c r="E67" s="493" t="s">
        <v>178</v>
      </c>
      <c r="F67" s="493" t="s">
        <v>174</v>
      </c>
      <c r="G67" s="492" t="s">
        <v>179</v>
      </c>
      <c r="H67" s="493" t="s">
        <v>180</v>
      </c>
      <c r="I67" s="494" t="s">
        <v>139</v>
      </c>
      <c r="J67" s="458"/>
      <c r="K67" s="458"/>
      <c r="L67" s="497"/>
      <c r="M67" s="458"/>
      <c r="N67" s="458"/>
      <c r="O67" s="458"/>
      <c r="P67" s="458"/>
      <c r="Q67" s="458"/>
      <c r="R67" s="458"/>
      <c r="S67" s="458"/>
      <c r="T67" s="458"/>
      <c r="U67" s="458"/>
      <c r="V67" s="458"/>
      <c r="W67" s="458"/>
      <c r="X67" s="458"/>
      <c r="Y67" s="458"/>
      <c r="Z67" s="458"/>
      <c r="AA67" s="458"/>
      <c r="AB67" s="458"/>
      <c r="AC67" s="458"/>
      <c r="AD67" s="458"/>
      <c r="AG67" s="458"/>
      <c r="AH67" s="458"/>
      <c r="AI67" s="458"/>
      <c r="AJ67" s="458"/>
      <c r="AK67" s="458"/>
      <c r="AL67" s="458"/>
      <c r="AM67" s="458"/>
      <c r="AN67" s="458"/>
      <c r="AO67" s="458"/>
      <c r="AP67" s="458"/>
      <c r="AQ67" s="458"/>
      <c r="AR67" s="458"/>
      <c r="AS67" s="458"/>
      <c r="AT67" s="458"/>
      <c r="AU67" s="458"/>
      <c r="AV67" s="458"/>
      <c r="AW67" s="458"/>
      <c r="AX67" s="458"/>
      <c r="AY67" s="458"/>
      <c r="AZ67" s="458"/>
      <c r="BA67" s="458"/>
      <c r="BB67" s="458"/>
      <c r="BC67" s="488"/>
      <c r="BD67" s="488"/>
      <c r="BE67" s="488"/>
      <c r="BF67" s="488"/>
      <c r="BG67" s="488"/>
      <c r="BH67" s="488"/>
      <c r="BI67" s="488"/>
      <c r="BJ67" s="488"/>
      <c r="BK67" s="488"/>
      <c r="BL67" s="488"/>
      <c r="BM67" s="488"/>
      <c r="BN67" s="488"/>
      <c r="BO67" s="488"/>
      <c r="BP67" s="488"/>
    </row>
    <row r="68" spans="2:68" ht="15.75" thickBot="1" x14ac:dyDescent="0.3">
      <c r="B68" s="755"/>
      <c r="C68" s="756"/>
      <c r="D68" s="513">
        <f>I68/($D$8*1000)</f>
        <v>2.5642873484328529E-2</v>
      </c>
      <c r="E68" s="513" t="s">
        <v>181</v>
      </c>
      <c r="F68" s="513" t="s">
        <v>181</v>
      </c>
      <c r="G68" s="513">
        <f>G42+G54+G65+G60</f>
        <v>14100</v>
      </c>
      <c r="H68" s="513">
        <f>H42+H54+H65+H60</f>
        <v>22056.451612903224</v>
      </c>
      <c r="I68" s="514">
        <f>I42+I54+I65+I60</f>
        <v>36156.451612903227</v>
      </c>
      <c r="J68" s="458"/>
      <c r="K68" s="458"/>
      <c r="L68" s="497"/>
      <c r="M68" s="458"/>
      <c r="N68" s="458"/>
      <c r="O68" s="458"/>
      <c r="P68" s="458"/>
      <c r="Q68" s="458"/>
      <c r="R68" s="458"/>
      <c r="S68" s="458"/>
      <c r="T68" s="458"/>
      <c r="U68" s="458"/>
      <c r="V68" s="458"/>
      <c r="W68" s="458"/>
      <c r="X68" s="458"/>
      <c r="Y68" s="458"/>
      <c r="Z68" s="458"/>
      <c r="AA68" s="458"/>
      <c r="AB68" s="458"/>
      <c r="AC68" s="458"/>
      <c r="AD68" s="458"/>
      <c r="AG68" s="458"/>
      <c r="AH68" s="458"/>
      <c r="AI68" s="458"/>
      <c r="AJ68" s="458"/>
      <c r="AK68" s="458"/>
      <c r="AL68" s="458"/>
      <c r="AM68" s="458"/>
      <c r="AN68" s="458"/>
      <c r="AO68" s="458"/>
      <c r="AP68" s="458"/>
      <c r="AQ68" s="458"/>
      <c r="AR68" s="458"/>
      <c r="AS68" s="458"/>
      <c r="AT68" s="458"/>
      <c r="AU68" s="458"/>
      <c r="AV68" s="458"/>
      <c r="AW68" s="458"/>
      <c r="AX68" s="458"/>
      <c r="AY68" s="458"/>
      <c r="AZ68" s="458"/>
      <c r="BA68" s="458"/>
      <c r="BB68" s="458"/>
      <c r="BC68" s="488"/>
      <c r="BD68" s="488"/>
      <c r="BE68" s="488"/>
      <c r="BF68" s="488"/>
      <c r="BG68" s="488"/>
      <c r="BH68" s="488"/>
      <c r="BI68" s="488"/>
      <c r="BJ68" s="488"/>
      <c r="BK68" s="488"/>
      <c r="BL68" s="488"/>
      <c r="BM68" s="488"/>
      <c r="BN68" s="488"/>
      <c r="BO68" s="488"/>
      <c r="BP68" s="488"/>
    </row>
    <row r="69" spans="2:68" x14ac:dyDescent="0.25">
      <c r="D69" s="377"/>
      <c r="G69" s="458"/>
      <c r="H69" s="458"/>
      <c r="I69" s="458"/>
      <c r="J69" s="458"/>
      <c r="K69" s="458"/>
      <c r="L69" s="497"/>
      <c r="M69" s="458"/>
      <c r="N69" s="458"/>
      <c r="O69" s="458"/>
      <c r="P69" s="458"/>
      <c r="Q69" s="458"/>
      <c r="R69" s="458"/>
      <c r="S69" s="458"/>
      <c r="T69" s="458"/>
      <c r="U69" s="458"/>
      <c r="V69" s="458"/>
      <c r="W69" s="458"/>
      <c r="X69" s="458"/>
      <c r="Y69" s="458"/>
      <c r="Z69" s="458"/>
      <c r="AA69" s="458"/>
      <c r="AB69" s="458"/>
      <c r="AC69" s="458"/>
      <c r="AD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c r="BC69" s="488"/>
      <c r="BD69" s="488"/>
      <c r="BE69" s="488"/>
      <c r="BF69" s="488"/>
      <c r="BG69" s="488"/>
      <c r="BH69" s="488"/>
      <c r="BI69" s="488"/>
      <c r="BJ69" s="488"/>
      <c r="BK69" s="488"/>
      <c r="BL69" s="488"/>
      <c r="BM69" s="488"/>
      <c r="BN69" s="488"/>
      <c r="BO69" s="488"/>
      <c r="BP69" s="488"/>
    </row>
    <row r="70" spans="2:68" x14ac:dyDescent="0.25">
      <c r="D70" s="377"/>
      <c r="G70" s="458"/>
      <c r="H70" s="458"/>
      <c r="I70" s="458"/>
      <c r="J70" s="458"/>
      <c r="K70" s="458"/>
      <c r="L70" s="497"/>
      <c r="M70" s="458"/>
      <c r="N70" s="458"/>
      <c r="O70" s="458"/>
      <c r="P70" s="458"/>
      <c r="Q70" s="458"/>
      <c r="R70" s="458"/>
      <c r="S70" s="458"/>
      <c r="T70" s="458"/>
      <c r="U70" s="458"/>
      <c r="V70" s="458"/>
      <c r="W70" s="458"/>
      <c r="X70" s="458"/>
      <c r="Y70" s="458"/>
      <c r="Z70" s="458"/>
      <c r="AA70" s="458"/>
      <c r="AB70" s="458"/>
      <c r="AC70" s="458"/>
      <c r="AD70" s="458"/>
      <c r="AG70" s="458"/>
      <c r="AH70" s="458"/>
      <c r="AI70" s="458"/>
      <c r="AJ70" s="458"/>
      <c r="AK70" s="458"/>
      <c r="AL70" s="458"/>
      <c r="AM70" s="458"/>
      <c r="AN70" s="458"/>
      <c r="AO70" s="458"/>
      <c r="AP70" s="458"/>
      <c r="AQ70" s="458"/>
      <c r="AR70" s="458"/>
      <c r="AS70" s="458"/>
      <c r="AT70" s="458"/>
      <c r="AU70" s="458"/>
      <c r="AV70" s="458"/>
      <c r="AW70" s="458"/>
      <c r="AX70" s="458"/>
      <c r="AY70" s="458"/>
      <c r="AZ70" s="458"/>
      <c r="BA70" s="458"/>
      <c r="BB70" s="458"/>
      <c r="BC70" s="488"/>
      <c r="BD70" s="488"/>
      <c r="BE70" s="488"/>
      <c r="BF70" s="488"/>
      <c r="BG70" s="488"/>
      <c r="BH70" s="488"/>
      <c r="BI70" s="488"/>
      <c r="BJ70" s="488"/>
      <c r="BK70" s="488"/>
      <c r="BL70" s="488"/>
      <c r="BM70" s="488"/>
      <c r="BN70" s="488"/>
      <c r="BO70" s="488"/>
      <c r="BP70" s="488"/>
    </row>
    <row r="71" spans="2:68" x14ac:dyDescent="0.25">
      <c r="B71" s="491" t="s">
        <v>155</v>
      </c>
      <c r="D71" s="377"/>
      <c r="AF71" s="515"/>
      <c r="AG71" s="516"/>
      <c r="AH71" s="516"/>
      <c r="AI71" s="458"/>
      <c r="AJ71" s="458"/>
      <c r="AK71" s="458"/>
      <c r="AL71" s="458"/>
      <c r="AM71" s="458"/>
      <c r="AN71" s="458"/>
      <c r="AO71" s="458"/>
      <c r="AP71" s="458"/>
      <c r="AQ71" s="458"/>
      <c r="AR71" s="458"/>
      <c r="AS71" s="458"/>
      <c r="AT71" s="458"/>
      <c r="AU71" s="458"/>
      <c r="AV71" s="458"/>
      <c r="AW71" s="458"/>
      <c r="AX71" s="458"/>
      <c r="AY71" s="458"/>
      <c r="AZ71" s="458"/>
      <c r="BA71" s="458"/>
      <c r="BB71" s="458"/>
      <c r="BC71" s="488"/>
      <c r="BD71" s="488"/>
      <c r="BE71" s="488"/>
      <c r="BF71" s="488"/>
      <c r="BG71" s="488"/>
      <c r="BH71" s="488"/>
      <c r="BI71" s="488"/>
      <c r="BJ71" s="488"/>
      <c r="BK71" s="488"/>
      <c r="BL71" s="488"/>
      <c r="BM71" s="488"/>
      <c r="BN71" s="488"/>
      <c r="BO71" s="488"/>
      <c r="BP71" s="488"/>
    </row>
    <row r="72" spans="2:68" ht="15.75" thickBot="1" x14ac:dyDescent="0.3">
      <c r="B72" s="491"/>
      <c r="D72" s="377"/>
      <c r="AF72" s="515"/>
      <c r="AG72" s="516"/>
      <c r="AH72" s="516"/>
      <c r="AI72" s="458"/>
      <c r="AJ72" s="458"/>
      <c r="AK72" s="458"/>
      <c r="AL72" s="458"/>
      <c r="AM72" s="458"/>
      <c r="AN72" s="458"/>
      <c r="AO72" s="458"/>
      <c r="AP72" s="458"/>
      <c r="AQ72" s="458"/>
      <c r="AR72" s="458"/>
      <c r="AS72" s="458"/>
      <c r="AT72" s="458"/>
      <c r="AU72" s="458"/>
      <c r="AV72" s="458"/>
      <c r="AW72" s="458"/>
      <c r="AX72" s="458"/>
      <c r="AY72" s="458"/>
      <c r="AZ72" s="458"/>
      <c r="BA72" s="458"/>
      <c r="BB72" s="458"/>
      <c r="BC72" s="488"/>
      <c r="BD72" s="488"/>
      <c r="BE72" s="488"/>
      <c r="BF72" s="488"/>
      <c r="BG72" s="488"/>
      <c r="BH72" s="488"/>
      <c r="BI72" s="488"/>
      <c r="BJ72" s="488"/>
      <c r="BK72" s="488"/>
      <c r="BL72" s="488"/>
      <c r="BM72" s="488"/>
      <c r="BN72" s="488"/>
      <c r="BO72" s="488"/>
      <c r="BP72" s="488"/>
    </row>
    <row r="73" spans="2:68" x14ac:dyDescent="0.25">
      <c r="B73" s="757" t="s">
        <v>182</v>
      </c>
      <c r="C73" s="758"/>
      <c r="D73" s="517" t="s">
        <v>21</v>
      </c>
      <c r="E73" s="518">
        <v>1</v>
      </c>
      <c r="F73" s="518">
        <f>E73+1</f>
        <v>2</v>
      </c>
      <c r="G73" s="518">
        <f t="shared" ref="G73:AC73" si="15">F73+1</f>
        <v>3</v>
      </c>
      <c r="H73" s="518">
        <f t="shared" si="15"/>
        <v>4</v>
      </c>
      <c r="I73" s="518">
        <f>H73+1</f>
        <v>5</v>
      </c>
      <c r="J73" s="518">
        <f t="shared" si="15"/>
        <v>6</v>
      </c>
      <c r="K73" s="518">
        <f t="shared" si="15"/>
        <v>7</v>
      </c>
      <c r="L73" s="518">
        <f>K73+1</f>
        <v>8</v>
      </c>
      <c r="M73" s="518">
        <f t="shared" si="15"/>
        <v>9</v>
      </c>
      <c r="N73" s="518">
        <f t="shared" si="15"/>
        <v>10</v>
      </c>
      <c r="O73" s="518">
        <f t="shared" si="15"/>
        <v>11</v>
      </c>
      <c r="P73" s="518">
        <f>O73+1</f>
        <v>12</v>
      </c>
      <c r="Q73" s="518">
        <f t="shared" si="15"/>
        <v>13</v>
      </c>
      <c r="R73" s="518">
        <f t="shared" si="15"/>
        <v>14</v>
      </c>
      <c r="S73" s="518">
        <f t="shared" si="15"/>
        <v>15</v>
      </c>
      <c r="T73" s="518">
        <f t="shared" si="15"/>
        <v>16</v>
      </c>
      <c r="U73" s="518">
        <f t="shared" si="15"/>
        <v>17</v>
      </c>
      <c r="V73" s="518">
        <f t="shared" si="15"/>
        <v>18</v>
      </c>
      <c r="W73" s="518">
        <f t="shared" si="15"/>
        <v>19</v>
      </c>
      <c r="X73" s="518">
        <f t="shared" si="15"/>
        <v>20</v>
      </c>
      <c r="Y73" s="518">
        <f t="shared" si="15"/>
        <v>21</v>
      </c>
      <c r="Z73" s="518">
        <f t="shared" si="15"/>
        <v>22</v>
      </c>
      <c r="AA73" s="518">
        <f t="shared" si="15"/>
        <v>23</v>
      </c>
      <c r="AB73" s="518">
        <f t="shared" si="15"/>
        <v>24</v>
      </c>
      <c r="AC73" s="519">
        <f t="shared" si="15"/>
        <v>25</v>
      </c>
      <c r="AD73" s="520" t="s">
        <v>183</v>
      </c>
      <c r="AE73" s="515"/>
      <c r="AF73" s="515"/>
      <c r="AG73" s="516"/>
      <c r="AH73" s="516"/>
      <c r="AI73" s="458"/>
      <c r="AJ73" s="458"/>
      <c r="AK73" s="458"/>
      <c r="AL73" s="458"/>
      <c r="AM73" s="458"/>
      <c r="AN73" s="458"/>
      <c r="AO73" s="458"/>
      <c r="AP73" s="458"/>
      <c r="AQ73" s="458"/>
      <c r="AR73" s="458"/>
      <c r="AS73" s="458"/>
      <c r="AT73" s="458"/>
      <c r="AU73" s="458"/>
      <c r="AV73" s="458"/>
      <c r="AW73" s="458"/>
      <c r="AX73" s="458"/>
      <c r="AY73" s="458"/>
      <c r="AZ73" s="458"/>
      <c r="BA73" s="458"/>
      <c r="BB73" s="458"/>
      <c r="BC73" s="488"/>
      <c r="BD73" s="488"/>
      <c r="BE73" s="488"/>
      <c r="BF73" s="488"/>
      <c r="BG73" s="488"/>
      <c r="BH73" s="488"/>
      <c r="BI73" s="488"/>
      <c r="BJ73" s="488"/>
      <c r="BK73" s="488"/>
      <c r="BL73" s="488"/>
      <c r="BM73" s="488"/>
      <c r="BN73" s="488"/>
      <c r="BO73" s="488"/>
      <c r="BP73" s="488"/>
    </row>
    <row r="74" spans="2:68" x14ac:dyDescent="0.25">
      <c r="B74" s="759" t="s">
        <v>124</v>
      </c>
      <c r="C74" s="760"/>
      <c r="D74" s="521">
        <f>AD74/($D$8*1000)</f>
        <v>9.9414893617021279E-3</v>
      </c>
      <c r="E74" s="484">
        <f>E95</f>
        <v>10237.5</v>
      </c>
      <c r="F74" s="484">
        <f t="shared" ref="F74:AC74" si="16">F95</f>
        <v>157.5</v>
      </c>
      <c r="G74" s="484">
        <f t="shared" si="16"/>
        <v>157.5</v>
      </c>
      <c r="H74" s="484">
        <f t="shared" si="16"/>
        <v>157.5</v>
      </c>
      <c r="I74" s="484">
        <f t="shared" si="16"/>
        <v>157.5</v>
      </c>
      <c r="J74" s="484">
        <f t="shared" si="16"/>
        <v>157.5</v>
      </c>
      <c r="K74" s="484">
        <f t="shared" si="16"/>
        <v>157.5</v>
      </c>
      <c r="L74" s="484">
        <f t="shared" si="16"/>
        <v>157.5</v>
      </c>
      <c r="M74" s="484">
        <f t="shared" si="16"/>
        <v>157.5</v>
      </c>
      <c r="N74" s="484">
        <f t="shared" si="16"/>
        <v>157.5</v>
      </c>
      <c r="O74" s="484">
        <f t="shared" si="16"/>
        <v>157.5</v>
      </c>
      <c r="P74" s="484">
        <f t="shared" si="16"/>
        <v>157.5</v>
      </c>
      <c r="Q74" s="484">
        <f t="shared" si="16"/>
        <v>157.5</v>
      </c>
      <c r="R74" s="484">
        <f t="shared" si="16"/>
        <v>157.5</v>
      </c>
      <c r="S74" s="484">
        <f t="shared" si="16"/>
        <v>157.5</v>
      </c>
      <c r="T74" s="484">
        <f t="shared" si="16"/>
        <v>157.5</v>
      </c>
      <c r="U74" s="484">
        <f t="shared" si="16"/>
        <v>157.5</v>
      </c>
      <c r="V74" s="484">
        <f t="shared" si="16"/>
        <v>157.5</v>
      </c>
      <c r="W74" s="484">
        <f t="shared" si="16"/>
        <v>157.5</v>
      </c>
      <c r="X74" s="484">
        <f t="shared" si="16"/>
        <v>157.5</v>
      </c>
      <c r="Y74" s="484">
        <f t="shared" si="16"/>
        <v>157.5</v>
      </c>
      <c r="Z74" s="484">
        <f t="shared" si="16"/>
        <v>157.5</v>
      </c>
      <c r="AA74" s="484">
        <f t="shared" si="16"/>
        <v>157.5</v>
      </c>
      <c r="AB74" s="484">
        <f t="shared" si="16"/>
        <v>157.5</v>
      </c>
      <c r="AC74" s="522">
        <f t="shared" si="16"/>
        <v>157.5</v>
      </c>
      <c r="AD74" s="523">
        <f>SUM(E74:AC74)</f>
        <v>14017.5</v>
      </c>
      <c r="AG74" s="458"/>
      <c r="AH74" s="458"/>
      <c r="AI74" s="458"/>
      <c r="AJ74" s="458"/>
      <c r="AK74" s="458"/>
      <c r="AL74" s="458"/>
      <c r="AM74" s="458"/>
      <c r="AN74" s="458"/>
      <c r="AO74" s="458"/>
      <c r="AP74" s="458"/>
      <c r="AQ74" s="458"/>
      <c r="AR74" s="458"/>
      <c r="AS74" s="458"/>
      <c r="AT74" s="458"/>
      <c r="AU74" s="458"/>
      <c r="AV74" s="458"/>
      <c r="AW74" s="458"/>
      <c r="AX74" s="458"/>
      <c r="AY74" s="458"/>
      <c r="AZ74" s="458"/>
      <c r="BA74" s="458"/>
      <c r="BB74" s="458"/>
      <c r="BC74" s="488"/>
      <c r="BD74" s="488"/>
      <c r="BE74" s="488"/>
      <c r="BF74" s="488"/>
      <c r="BG74" s="488"/>
      <c r="BH74" s="488"/>
      <c r="BI74" s="488"/>
      <c r="BJ74" s="488"/>
      <c r="BK74" s="488"/>
      <c r="BL74" s="488"/>
      <c r="BM74" s="488"/>
      <c r="BN74" s="488"/>
      <c r="BO74" s="488"/>
      <c r="BP74" s="488"/>
    </row>
    <row r="75" spans="2:68" x14ac:dyDescent="0.25">
      <c r="B75" s="759" t="s">
        <v>125</v>
      </c>
      <c r="C75" s="760"/>
      <c r="D75" s="521">
        <f t="shared" ref="D75:D78" si="17">AD75/($D$8*1000)</f>
        <v>1.9052910657147396E-3</v>
      </c>
      <c r="E75" s="484">
        <f>E101</f>
        <v>1990.625</v>
      </c>
      <c r="F75" s="484">
        <f t="shared" ref="F75:AC75" si="18">F101</f>
        <v>23.657812500000002</v>
      </c>
      <c r="G75" s="484">
        <f t="shared" si="18"/>
        <v>20.71241484375</v>
      </c>
      <c r="H75" s="484">
        <f t="shared" si="18"/>
        <v>21.333787289062503</v>
      </c>
      <c r="I75" s="484">
        <f t="shared" si="18"/>
        <v>21.973800907734379</v>
      </c>
      <c r="J75" s="484">
        <f t="shared" si="18"/>
        <v>22.633014934966408</v>
      </c>
      <c r="K75" s="484">
        <f t="shared" si="18"/>
        <v>23.3120053830154</v>
      </c>
      <c r="L75" s="484">
        <f t="shared" si="18"/>
        <v>24.011365544505864</v>
      </c>
      <c r="M75" s="484">
        <f t="shared" si="18"/>
        <v>24.731706510841043</v>
      </c>
      <c r="N75" s="484">
        <f t="shared" si="18"/>
        <v>25.473657706166271</v>
      </c>
      <c r="O75" s="484">
        <f t="shared" si="18"/>
        <v>26.237867437351262</v>
      </c>
      <c r="P75" s="484">
        <f t="shared" si="18"/>
        <v>27.025003460471805</v>
      </c>
      <c r="Q75" s="484">
        <f t="shared" si="18"/>
        <v>27.835753564285955</v>
      </c>
      <c r="R75" s="484">
        <f t="shared" si="18"/>
        <v>28.670826171214536</v>
      </c>
      <c r="S75" s="484">
        <f t="shared" si="18"/>
        <v>29.530950956350967</v>
      </c>
      <c r="T75" s="484">
        <f t="shared" si="18"/>
        <v>30.416879485041498</v>
      </c>
      <c r="U75" s="484">
        <f t="shared" si="18"/>
        <v>31.329385869592745</v>
      </c>
      <c r="V75" s="484">
        <f t="shared" si="18"/>
        <v>32.269267445680526</v>
      </c>
      <c r="W75" s="484">
        <f t="shared" si="18"/>
        <v>33.237345469050943</v>
      </c>
      <c r="X75" s="484">
        <f t="shared" si="18"/>
        <v>34.234465833122471</v>
      </c>
      <c r="Y75" s="484">
        <f t="shared" si="18"/>
        <v>35.261499808116142</v>
      </c>
      <c r="Z75" s="484">
        <f t="shared" si="18"/>
        <v>36.31934480235963</v>
      </c>
      <c r="AA75" s="484">
        <f t="shared" si="18"/>
        <v>37.40892514643042</v>
      </c>
      <c r="AB75" s="484">
        <f t="shared" si="18"/>
        <v>38.531192900823328</v>
      </c>
      <c r="AC75" s="522">
        <f t="shared" si="18"/>
        <v>39.68712868784803</v>
      </c>
      <c r="AD75" s="523">
        <f t="shared" ref="AD75:AD78" si="19">SUM(E75:AC75)</f>
        <v>2686.4604026577827</v>
      </c>
      <c r="AG75" s="458"/>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88"/>
      <c r="BD75" s="488"/>
      <c r="BE75" s="488"/>
      <c r="BF75" s="488"/>
      <c r="BG75" s="488"/>
      <c r="BH75" s="488"/>
      <c r="BI75" s="488"/>
      <c r="BJ75" s="488"/>
      <c r="BK75" s="488"/>
      <c r="BL75" s="488"/>
      <c r="BM75" s="488"/>
      <c r="BN75" s="488"/>
      <c r="BO75" s="488"/>
      <c r="BP75" s="488"/>
    </row>
    <row r="76" spans="2:68" x14ac:dyDescent="0.25">
      <c r="B76" s="759" t="s">
        <v>134</v>
      </c>
      <c r="C76" s="760"/>
      <c r="D76" s="521">
        <f t="shared" si="17"/>
        <v>1.3609221897962424E-3</v>
      </c>
      <c r="E76" s="484">
        <f>E107</f>
        <v>1421.8750000000002</v>
      </c>
      <c r="F76" s="484">
        <f t="shared" ref="F76:AC76" si="20">F107</f>
        <v>16.8984375</v>
      </c>
      <c r="G76" s="484">
        <f t="shared" si="20"/>
        <v>14.79458203125</v>
      </c>
      <c r="H76" s="484">
        <f t="shared" si="20"/>
        <v>15.2384194921875</v>
      </c>
      <c r="I76" s="484">
        <f t="shared" si="20"/>
        <v>15.695572076953127</v>
      </c>
      <c r="J76" s="484">
        <f t="shared" si="20"/>
        <v>16.16643923926172</v>
      </c>
      <c r="K76" s="484">
        <f t="shared" si="20"/>
        <v>16.651432416439572</v>
      </c>
      <c r="L76" s="484">
        <f t="shared" si="20"/>
        <v>17.150975388932757</v>
      </c>
      <c r="M76" s="484">
        <f t="shared" si="20"/>
        <v>17.665504650600742</v>
      </c>
      <c r="N76" s="484">
        <f t="shared" si="20"/>
        <v>18.195469790118764</v>
      </c>
      <c r="O76" s="484">
        <f t="shared" si="20"/>
        <v>18.741333883822332</v>
      </c>
      <c r="P76" s="484">
        <f t="shared" si="20"/>
        <v>19.303573900337003</v>
      </c>
      <c r="Q76" s="484">
        <f t="shared" si="20"/>
        <v>19.882681117347111</v>
      </c>
      <c r="R76" s="484">
        <f t="shared" si="20"/>
        <v>20.479161550867524</v>
      </c>
      <c r="S76" s="484">
        <f t="shared" si="20"/>
        <v>21.093536397393549</v>
      </c>
      <c r="T76" s="484">
        <f t="shared" si="20"/>
        <v>21.726342489315353</v>
      </c>
      <c r="U76" s="484">
        <f t="shared" si="20"/>
        <v>22.378132763994817</v>
      </c>
      <c r="V76" s="484">
        <f t="shared" si="20"/>
        <v>23.04947674691466</v>
      </c>
      <c r="W76" s="484">
        <f t="shared" si="20"/>
        <v>23.740961049322099</v>
      </c>
      <c r="X76" s="484">
        <f t="shared" si="20"/>
        <v>24.453189880801762</v>
      </c>
      <c r="Y76" s="484">
        <f t="shared" si="20"/>
        <v>25.186785577225816</v>
      </c>
      <c r="Z76" s="484">
        <f t="shared" si="20"/>
        <v>25.942389144542588</v>
      </c>
      <c r="AA76" s="484">
        <f t="shared" si="20"/>
        <v>26.720660818878869</v>
      </c>
      <c r="AB76" s="484">
        <f t="shared" si="20"/>
        <v>27.522280643445235</v>
      </c>
      <c r="AC76" s="522">
        <f t="shared" si="20"/>
        <v>28.347949062748597</v>
      </c>
      <c r="AD76" s="523">
        <f t="shared" si="19"/>
        <v>1918.9002876127017</v>
      </c>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c r="BC76" s="488"/>
      <c r="BD76" s="488"/>
      <c r="BE76" s="488"/>
      <c r="BF76" s="488"/>
      <c r="BG76" s="488"/>
      <c r="BH76" s="488"/>
      <c r="BI76" s="488"/>
      <c r="BJ76" s="488"/>
      <c r="BK76" s="488"/>
      <c r="BL76" s="488"/>
      <c r="BM76" s="488"/>
      <c r="BN76" s="488"/>
      <c r="BO76" s="488"/>
      <c r="BP76" s="488"/>
    </row>
    <row r="77" spans="2:68" x14ac:dyDescent="0.25">
      <c r="B77" s="759" t="s">
        <v>135</v>
      </c>
      <c r="C77" s="760"/>
      <c r="D77" s="521">
        <f t="shared" si="17"/>
        <v>4.0019419341079596E-3</v>
      </c>
      <c r="E77" s="484">
        <f>E115</f>
        <v>1023.75</v>
      </c>
      <c r="F77" s="484">
        <f t="shared" ref="F77:AC77" si="21">F115</f>
        <v>593.13515625000002</v>
      </c>
      <c r="G77" s="484">
        <f t="shared" si="21"/>
        <v>441.39635490234366</v>
      </c>
      <c r="H77" s="484">
        <f t="shared" si="21"/>
        <v>227.31912277470701</v>
      </c>
      <c r="I77" s="484">
        <f t="shared" si="21"/>
        <v>117.06934822897409</v>
      </c>
      <c r="J77" s="484">
        <f t="shared" si="21"/>
        <v>120.58142867584331</v>
      </c>
      <c r="K77" s="484">
        <f t="shared" si="21"/>
        <v>124.19887153611862</v>
      </c>
      <c r="L77" s="484">
        <f t="shared" si="21"/>
        <v>127.92483768220218</v>
      </c>
      <c r="M77" s="484">
        <f t="shared" si="21"/>
        <v>131.76258281266826</v>
      </c>
      <c r="N77" s="484">
        <f t="shared" si="21"/>
        <v>135.71546029704831</v>
      </c>
      <c r="O77" s="484">
        <f t="shared" si="21"/>
        <v>139.78692410595977</v>
      </c>
      <c r="P77" s="484">
        <f t="shared" si="21"/>
        <v>143.98053182913856</v>
      </c>
      <c r="Q77" s="484">
        <f t="shared" si="21"/>
        <v>148.29994778401272</v>
      </c>
      <c r="R77" s="484">
        <f t="shared" si="21"/>
        <v>152.7489462175331</v>
      </c>
      <c r="S77" s="484">
        <f t="shared" si="21"/>
        <v>157.33141460405909</v>
      </c>
      <c r="T77" s="484">
        <f t="shared" si="21"/>
        <v>162.05135704218088</v>
      </c>
      <c r="U77" s="484">
        <f t="shared" si="21"/>
        <v>166.91289775344629</v>
      </c>
      <c r="V77" s="484">
        <f t="shared" si="21"/>
        <v>171.92028468604968</v>
      </c>
      <c r="W77" s="484">
        <f t="shared" si="21"/>
        <v>177.07789322663118</v>
      </c>
      <c r="X77" s="484">
        <f t="shared" si="21"/>
        <v>182.39023002343009</v>
      </c>
      <c r="Y77" s="484">
        <f t="shared" si="21"/>
        <v>187.861936924133</v>
      </c>
      <c r="Z77" s="484">
        <f t="shared" si="21"/>
        <v>193.49779503185698</v>
      </c>
      <c r="AA77" s="484">
        <f t="shared" si="21"/>
        <v>199.30272888281269</v>
      </c>
      <c r="AB77" s="484">
        <f t="shared" si="21"/>
        <v>205.28181074929711</v>
      </c>
      <c r="AC77" s="522">
        <f t="shared" si="21"/>
        <v>211.44026507177603</v>
      </c>
      <c r="AD77" s="523">
        <f t="shared" si="19"/>
        <v>5642.7381270922224</v>
      </c>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c r="BC77" s="488"/>
      <c r="BD77" s="488"/>
      <c r="BE77" s="488"/>
      <c r="BF77" s="488"/>
      <c r="BG77" s="488"/>
      <c r="BH77" s="488"/>
      <c r="BI77" s="488"/>
      <c r="BJ77" s="488"/>
      <c r="BK77" s="488"/>
      <c r="BL77" s="488"/>
      <c r="BM77" s="488"/>
      <c r="BN77" s="488"/>
      <c r="BO77" s="488"/>
      <c r="BP77" s="488"/>
    </row>
    <row r="78" spans="2:68" ht="15.75" thickBot="1" x14ac:dyDescent="0.3">
      <c r="B78" s="747" t="s">
        <v>136</v>
      </c>
      <c r="C78" s="748"/>
      <c r="D78" s="524">
        <f t="shared" si="17"/>
        <v>0.20667688051297381</v>
      </c>
      <c r="E78" s="525">
        <f>E121</f>
        <v>12285.000000000002</v>
      </c>
      <c r="F78" s="525">
        <f t="shared" ref="F78:AC78" si="22">F121</f>
        <v>9490.1624999999985</v>
      </c>
      <c r="G78" s="525">
        <f t="shared" si="22"/>
        <v>8308.6372687499988</v>
      </c>
      <c r="H78" s="525">
        <f t="shared" si="22"/>
        <v>8557.8963868124993</v>
      </c>
      <c r="I78" s="525">
        <f t="shared" si="22"/>
        <v>8814.6332784168735</v>
      </c>
      <c r="J78" s="525">
        <f t="shared" si="22"/>
        <v>9079.0722767693806</v>
      </c>
      <c r="K78" s="525">
        <f t="shared" si="22"/>
        <v>9351.4444450724623</v>
      </c>
      <c r="L78" s="525">
        <f t="shared" si="22"/>
        <v>9631.9877784246346</v>
      </c>
      <c r="M78" s="525">
        <f t="shared" si="22"/>
        <v>9920.9474117773752</v>
      </c>
      <c r="N78" s="525">
        <f t="shared" si="22"/>
        <v>10218.575834130696</v>
      </c>
      <c r="O78" s="525">
        <f t="shared" si="22"/>
        <v>10525.133109154618</v>
      </c>
      <c r="P78" s="525">
        <f t="shared" si="22"/>
        <v>10840.887102429257</v>
      </c>
      <c r="Q78" s="525">
        <f t="shared" si="22"/>
        <v>11166.113715502135</v>
      </c>
      <c r="R78" s="525">
        <f t="shared" si="22"/>
        <v>11501.097126967199</v>
      </c>
      <c r="S78" s="525">
        <f t="shared" si="22"/>
        <v>11846.130040776214</v>
      </c>
      <c r="T78" s="525">
        <f t="shared" si="22"/>
        <v>12201.513941999501</v>
      </c>
      <c r="U78" s="525">
        <f t="shared" si="22"/>
        <v>12567.559360259485</v>
      </c>
      <c r="V78" s="525">
        <f t="shared" si="22"/>
        <v>12944.58614106727</v>
      </c>
      <c r="W78" s="525">
        <f t="shared" si="22"/>
        <v>13332.92372529929</v>
      </c>
      <c r="X78" s="525">
        <f t="shared" si="22"/>
        <v>13732.911437058267</v>
      </c>
      <c r="Y78" s="525">
        <f t="shared" si="22"/>
        <v>14144.898780170015</v>
      </c>
      <c r="Z78" s="525">
        <f t="shared" si="22"/>
        <v>14569.245743575117</v>
      </c>
      <c r="AA78" s="525">
        <f t="shared" si="22"/>
        <v>15006.323115882369</v>
      </c>
      <c r="AB78" s="525">
        <f t="shared" si="22"/>
        <v>15456.512809358841</v>
      </c>
      <c r="AC78" s="526">
        <f t="shared" si="22"/>
        <v>15920.208193639608</v>
      </c>
      <c r="AD78" s="527">
        <f t="shared" si="19"/>
        <v>291414.40152329305</v>
      </c>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88"/>
      <c r="BD78" s="488"/>
      <c r="BE78" s="488"/>
      <c r="BF78" s="488"/>
      <c r="BG78" s="488"/>
      <c r="BH78" s="488"/>
      <c r="BI78" s="488"/>
      <c r="BJ78" s="488"/>
      <c r="BK78" s="488"/>
      <c r="BL78" s="488"/>
      <c r="BM78" s="488"/>
      <c r="BN78" s="488"/>
      <c r="BO78" s="488"/>
      <c r="BP78" s="488"/>
    </row>
    <row r="79" spans="2:68" s="491" customFormat="1" ht="16.5" thickTop="1" thickBot="1" x14ac:dyDescent="0.3">
      <c r="B79" s="762" t="s">
        <v>156</v>
      </c>
      <c r="C79" s="763"/>
      <c r="D79" s="528">
        <f>AD79/($D$8*1000)</f>
        <v>0.22388652506429485</v>
      </c>
      <c r="E79" s="529">
        <f>SUM(E74:E78)</f>
        <v>26958.75</v>
      </c>
      <c r="F79" s="529">
        <f t="shared" ref="F79:AC79" si="23">SUM(F74:F78)</f>
        <v>10281.353906249999</v>
      </c>
      <c r="G79" s="529">
        <f t="shared" si="23"/>
        <v>8943.040620527343</v>
      </c>
      <c r="H79" s="529">
        <f t="shared" si="23"/>
        <v>8979.287716368457</v>
      </c>
      <c r="I79" s="529">
        <f t="shared" si="23"/>
        <v>9126.8719996305354</v>
      </c>
      <c r="J79" s="529">
        <f t="shared" si="23"/>
        <v>9395.953159619452</v>
      </c>
      <c r="K79" s="529">
        <f t="shared" si="23"/>
        <v>9673.1067544080361</v>
      </c>
      <c r="L79" s="529">
        <f t="shared" si="23"/>
        <v>9958.574957040275</v>
      </c>
      <c r="M79" s="529">
        <f t="shared" si="23"/>
        <v>10252.607205751485</v>
      </c>
      <c r="N79" s="529">
        <f t="shared" si="23"/>
        <v>10555.460421924028</v>
      </c>
      <c r="O79" s="529">
        <f t="shared" si="23"/>
        <v>10867.399234581751</v>
      </c>
      <c r="P79" s="529">
        <f t="shared" si="23"/>
        <v>11188.696211619204</v>
      </c>
      <c r="Q79" s="529">
        <f t="shared" si="23"/>
        <v>11519.63209796778</v>
      </c>
      <c r="R79" s="529">
        <f t="shared" si="23"/>
        <v>11860.496060906815</v>
      </c>
      <c r="S79" s="529">
        <f t="shared" si="23"/>
        <v>12211.585942734016</v>
      </c>
      <c r="T79" s="529">
        <f t="shared" si="23"/>
        <v>12573.208521016039</v>
      </c>
      <c r="U79" s="529">
        <f t="shared" si="23"/>
        <v>12945.679776646519</v>
      </c>
      <c r="V79" s="529">
        <f t="shared" si="23"/>
        <v>13329.325169945914</v>
      </c>
      <c r="W79" s="529">
        <f t="shared" si="23"/>
        <v>13724.479925044294</v>
      </c>
      <c r="X79" s="529">
        <f t="shared" si="23"/>
        <v>14131.48932279562</v>
      </c>
      <c r="Y79" s="529">
        <f t="shared" si="23"/>
        <v>14550.709002479491</v>
      </c>
      <c r="Z79" s="529">
        <f t="shared" si="23"/>
        <v>14982.505272553875</v>
      </c>
      <c r="AA79" s="529">
        <f t="shared" si="23"/>
        <v>15427.255430730491</v>
      </c>
      <c r="AB79" s="529">
        <f t="shared" si="23"/>
        <v>15885.348093652407</v>
      </c>
      <c r="AC79" s="529">
        <f t="shared" si="23"/>
        <v>16357.18353646198</v>
      </c>
      <c r="AD79" s="530">
        <f>SUM(E79:AC79)</f>
        <v>315680.00034065574</v>
      </c>
      <c r="AE79" s="515"/>
      <c r="AF79" s="515"/>
      <c r="AG79" s="531"/>
      <c r="AH79" s="531"/>
      <c r="AI79" s="531"/>
      <c r="AJ79" s="531"/>
      <c r="AK79" s="531"/>
      <c r="AL79" s="531"/>
      <c r="AM79" s="531"/>
      <c r="AN79" s="531"/>
      <c r="AO79" s="531"/>
      <c r="AP79" s="531"/>
      <c r="AQ79" s="531"/>
      <c r="AR79" s="531"/>
      <c r="AS79" s="531"/>
      <c r="AT79" s="531"/>
      <c r="AU79" s="531"/>
      <c r="AV79" s="531"/>
      <c r="AW79" s="531"/>
      <c r="AX79" s="531"/>
      <c r="AY79" s="531"/>
      <c r="AZ79" s="531"/>
      <c r="BA79" s="531"/>
      <c r="BB79" s="531"/>
      <c r="BC79" s="532"/>
      <c r="BD79" s="532"/>
      <c r="BE79" s="532"/>
      <c r="BF79" s="532"/>
      <c r="BG79" s="532"/>
      <c r="BH79" s="532"/>
      <c r="BI79" s="532"/>
      <c r="BJ79" s="532"/>
      <c r="BK79" s="532"/>
      <c r="BL79" s="532"/>
      <c r="BM79" s="532"/>
      <c r="BN79" s="532"/>
      <c r="BO79" s="532"/>
      <c r="BP79" s="532"/>
    </row>
    <row r="80" spans="2:68" x14ac:dyDescent="0.25">
      <c r="F80" s="458"/>
      <c r="G80" s="458"/>
      <c r="H80" s="497"/>
      <c r="I80" s="458"/>
      <c r="J80" s="458"/>
      <c r="K80" s="497"/>
      <c r="L80" s="458"/>
      <c r="M80" s="458"/>
      <c r="N80" s="458"/>
      <c r="O80" s="458"/>
      <c r="P80" s="458"/>
      <c r="Q80" s="458"/>
      <c r="R80" s="458"/>
      <c r="S80" s="458"/>
      <c r="T80" s="458"/>
      <c r="U80" s="458"/>
      <c r="V80" s="458"/>
      <c r="W80" s="458"/>
      <c r="X80" s="458"/>
      <c r="Y80" s="458"/>
      <c r="Z80" s="458"/>
      <c r="AA80" s="458"/>
      <c r="AB80" s="458"/>
      <c r="AC80" s="458"/>
      <c r="AD80" s="458"/>
      <c r="AG80" s="458"/>
      <c r="AH80" s="458"/>
      <c r="AI80" s="458"/>
      <c r="AJ80" s="458"/>
      <c r="AK80" s="458"/>
      <c r="AL80" s="458"/>
      <c r="AM80" s="458"/>
      <c r="AN80" s="458"/>
      <c r="AO80" s="458"/>
      <c r="AP80" s="458"/>
      <c r="AQ80" s="458"/>
      <c r="AR80" s="458"/>
      <c r="AS80" s="458"/>
      <c r="AT80" s="458"/>
      <c r="AU80" s="458"/>
      <c r="AV80" s="458"/>
      <c r="AW80" s="458"/>
      <c r="AX80" s="458"/>
      <c r="AY80" s="458"/>
      <c r="AZ80" s="458"/>
      <c r="BA80" s="458"/>
      <c r="BB80" s="488"/>
      <c r="BC80" s="488"/>
      <c r="BD80" s="488"/>
      <c r="BE80" s="488"/>
      <c r="BF80" s="488"/>
      <c r="BG80" s="488"/>
      <c r="BH80" s="488"/>
      <c r="BI80" s="488"/>
      <c r="BJ80" s="488"/>
      <c r="BK80" s="488"/>
      <c r="BL80" s="488"/>
      <c r="BM80" s="488"/>
      <c r="BN80" s="488"/>
      <c r="BO80" s="488"/>
    </row>
    <row r="81" spans="1:68" ht="15.75" thickBot="1" x14ac:dyDescent="0.3">
      <c r="F81" s="458"/>
      <c r="G81" s="458"/>
      <c r="H81" s="497"/>
      <c r="I81" s="458"/>
      <c r="J81" s="458"/>
      <c r="K81" s="497"/>
      <c r="L81" s="458"/>
      <c r="M81" s="458"/>
      <c r="N81" s="458"/>
      <c r="O81" s="458"/>
      <c r="P81" s="458"/>
      <c r="Q81" s="458"/>
      <c r="R81" s="458"/>
      <c r="S81" s="458"/>
      <c r="T81" s="458"/>
      <c r="U81" s="458"/>
      <c r="V81" s="458"/>
      <c r="W81" s="458"/>
      <c r="X81" s="458"/>
      <c r="Y81" s="458"/>
      <c r="Z81" s="458"/>
      <c r="AA81" s="458"/>
      <c r="AB81" s="458"/>
      <c r="AC81" s="458"/>
      <c r="AD81" s="458"/>
      <c r="AG81" s="458"/>
      <c r="AH81" s="458"/>
      <c r="AI81" s="458"/>
      <c r="AJ81" s="458"/>
      <c r="AK81" s="458"/>
      <c r="AL81" s="458"/>
      <c r="AM81" s="458"/>
      <c r="AN81" s="458"/>
      <c r="AO81" s="458"/>
      <c r="AP81" s="458"/>
      <c r="AQ81" s="458"/>
      <c r="AR81" s="458"/>
      <c r="AS81" s="458"/>
      <c r="AT81" s="458"/>
      <c r="AU81" s="458"/>
      <c r="AV81" s="458"/>
      <c r="AW81" s="458"/>
      <c r="AX81" s="458"/>
      <c r="AY81" s="458"/>
      <c r="AZ81" s="458"/>
      <c r="BA81" s="458"/>
      <c r="BB81" s="488"/>
      <c r="BC81" s="488"/>
      <c r="BD81" s="488"/>
      <c r="BE81" s="488"/>
      <c r="BF81" s="488"/>
      <c r="BG81" s="488"/>
      <c r="BH81" s="488"/>
      <c r="BI81" s="488"/>
      <c r="BJ81" s="488"/>
      <c r="BK81" s="488"/>
      <c r="BL81" s="488"/>
      <c r="BM81" s="488"/>
      <c r="BN81" s="488"/>
      <c r="BO81" s="488"/>
    </row>
    <row r="82" spans="1:68" x14ac:dyDescent="0.25">
      <c r="B82" s="757" t="s">
        <v>184</v>
      </c>
      <c r="C82" s="758"/>
      <c r="D82" s="533"/>
      <c r="E82" s="518">
        <v>1</v>
      </c>
      <c r="F82" s="518">
        <f>E82+1</f>
        <v>2</v>
      </c>
      <c r="G82" s="518">
        <f t="shared" ref="G82:AC82" si="24">F82+1</f>
        <v>3</v>
      </c>
      <c r="H82" s="518">
        <f t="shared" si="24"/>
        <v>4</v>
      </c>
      <c r="I82" s="518">
        <f>H82+1</f>
        <v>5</v>
      </c>
      <c r="J82" s="518">
        <f t="shared" si="24"/>
        <v>6</v>
      </c>
      <c r="K82" s="518">
        <f t="shared" si="24"/>
        <v>7</v>
      </c>
      <c r="L82" s="518">
        <f>K82+1</f>
        <v>8</v>
      </c>
      <c r="M82" s="518">
        <f t="shared" si="24"/>
        <v>9</v>
      </c>
      <c r="N82" s="518">
        <f t="shared" si="24"/>
        <v>10</v>
      </c>
      <c r="O82" s="518">
        <f t="shared" si="24"/>
        <v>11</v>
      </c>
      <c r="P82" s="518">
        <f>O82+1</f>
        <v>12</v>
      </c>
      <c r="Q82" s="518">
        <f t="shared" si="24"/>
        <v>13</v>
      </c>
      <c r="R82" s="518">
        <f t="shared" si="24"/>
        <v>14</v>
      </c>
      <c r="S82" s="518">
        <f t="shared" si="24"/>
        <v>15</v>
      </c>
      <c r="T82" s="518">
        <f t="shared" si="24"/>
        <v>16</v>
      </c>
      <c r="U82" s="518">
        <f t="shared" si="24"/>
        <v>17</v>
      </c>
      <c r="V82" s="518">
        <f t="shared" si="24"/>
        <v>18</v>
      </c>
      <c r="W82" s="518">
        <f t="shared" si="24"/>
        <v>19</v>
      </c>
      <c r="X82" s="518">
        <f t="shared" si="24"/>
        <v>20</v>
      </c>
      <c r="Y82" s="518">
        <f t="shared" si="24"/>
        <v>21</v>
      </c>
      <c r="Z82" s="518">
        <f t="shared" si="24"/>
        <v>22</v>
      </c>
      <c r="AA82" s="518">
        <f t="shared" si="24"/>
        <v>23</v>
      </c>
      <c r="AB82" s="518">
        <f t="shared" si="24"/>
        <v>24</v>
      </c>
      <c r="AC82" s="520">
        <f t="shared" si="24"/>
        <v>25</v>
      </c>
      <c r="AD82" s="516"/>
      <c r="AE82" s="515"/>
      <c r="AG82" s="458"/>
      <c r="AH82" s="458"/>
      <c r="AI82" s="458"/>
      <c r="AJ82" s="458"/>
      <c r="AK82" s="458"/>
      <c r="AL82" s="458"/>
      <c r="AM82" s="458"/>
      <c r="AN82" s="458"/>
      <c r="AO82" s="458"/>
      <c r="AP82" s="458"/>
      <c r="AQ82" s="458"/>
      <c r="AR82" s="458"/>
      <c r="AS82" s="458"/>
      <c r="AT82" s="458"/>
      <c r="AU82" s="458"/>
      <c r="AV82" s="458"/>
      <c r="AW82" s="458"/>
      <c r="AX82" s="458"/>
      <c r="AY82" s="458"/>
      <c r="AZ82" s="458"/>
      <c r="BA82" s="458"/>
      <c r="BB82" s="458"/>
      <c r="BC82" s="488"/>
      <c r="BD82" s="488"/>
      <c r="BE82" s="488"/>
      <c r="BF82" s="488"/>
      <c r="BG82" s="488"/>
      <c r="BH82" s="488"/>
      <c r="BI82" s="488"/>
      <c r="BJ82" s="488"/>
      <c r="BK82" s="488"/>
      <c r="BL82" s="488"/>
      <c r="BM82" s="488"/>
      <c r="BN82" s="488"/>
      <c r="BO82" s="488"/>
      <c r="BP82" s="488"/>
    </row>
    <row r="83" spans="1:68" x14ac:dyDescent="0.25">
      <c r="B83" s="759" t="s">
        <v>185</v>
      </c>
      <c r="C83" s="760"/>
      <c r="D83" s="534"/>
      <c r="E83" s="483">
        <f>Community_Solar_Business_Case!F15/((1-'Key_Assumptions_&amp;_Inputs'!$E$59)*'Key_Assumptions_&amp;_Inputs'!$E$35/'Key_Assumptions_&amp;_Inputs'!$E$22)</f>
        <v>1</v>
      </c>
      <c r="F83" s="483">
        <f>Community_Solar_Business_Case!G15/((1-'Key_Assumptions_&amp;_Inputs'!$E$59)*'Key_Assumptions_&amp;_Inputs'!$E$35/'Key_Assumptions_&amp;_Inputs'!$E$22)</f>
        <v>1</v>
      </c>
      <c r="G83" s="483">
        <f>Community_Solar_Business_Case!H15/((1-'Key_Assumptions_&amp;_Inputs'!$E$59)*'Key_Assumptions_&amp;_Inputs'!$E$35/'Key_Assumptions_&amp;_Inputs'!$E$22)</f>
        <v>1</v>
      </c>
      <c r="H83" s="483">
        <f>Community_Solar_Business_Case!I15/((1-'Key_Assumptions_&amp;_Inputs'!$E$59)*'Key_Assumptions_&amp;_Inputs'!$E$35/'Key_Assumptions_&amp;_Inputs'!$E$22)</f>
        <v>1</v>
      </c>
      <c r="I83" s="483">
        <f>Community_Solar_Business_Case!J15/((1-'Key_Assumptions_&amp;_Inputs'!$E$59)*'Key_Assumptions_&amp;_Inputs'!$E$35/'Key_Assumptions_&amp;_Inputs'!$E$22)</f>
        <v>1</v>
      </c>
      <c r="J83" s="483">
        <f>Community_Solar_Business_Case!K15/((1-'Key_Assumptions_&amp;_Inputs'!$E$59)*'Key_Assumptions_&amp;_Inputs'!$E$35/'Key_Assumptions_&amp;_Inputs'!$E$22)</f>
        <v>1</v>
      </c>
      <c r="K83" s="483">
        <f>Community_Solar_Business_Case!L15/((1-'Key_Assumptions_&amp;_Inputs'!$E$59)*'Key_Assumptions_&amp;_Inputs'!$E$35/'Key_Assumptions_&amp;_Inputs'!$E$22)</f>
        <v>1</v>
      </c>
      <c r="L83" s="483">
        <f>Community_Solar_Business_Case!M15/((1-'Key_Assumptions_&amp;_Inputs'!$E$59)*'Key_Assumptions_&amp;_Inputs'!$E$35/'Key_Assumptions_&amp;_Inputs'!$E$22)</f>
        <v>1</v>
      </c>
      <c r="M83" s="483">
        <f>Community_Solar_Business_Case!N15/((1-'Key_Assumptions_&amp;_Inputs'!$E$59)*'Key_Assumptions_&amp;_Inputs'!$E$35/'Key_Assumptions_&amp;_Inputs'!$E$22)</f>
        <v>1</v>
      </c>
      <c r="N83" s="483">
        <f>Community_Solar_Business_Case!O15/((1-'Key_Assumptions_&amp;_Inputs'!$E$59)*'Key_Assumptions_&amp;_Inputs'!$E$35/'Key_Assumptions_&amp;_Inputs'!$E$22)</f>
        <v>1</v>
      </c>
      <c r="O83" s="483">
        <f>Community_Solar_Business_Case!P15/((1-'Key_Assumptions_&amp;_Inputs'!$E$59)*'Key_Assumptions_&amp;_Inputs'!$E$35/'Key_Assumptions_&amp;_Inputs'!$E$22)</f>
        <v>1</v>
      </c>
      <c r="P83" s="483">
        <f>Community_Solar_Business_Case!Q15/((1-'Key_Assumptions_&amp;_Inputs'!$E$59)*'Key_Assumptions_&amp;_Inputs'!$E$35/'Key_Assumptions_&amp;_Inputs'!$E$22)</f>
        <v>1</v>
      </c>
      <c r="Q83" s="483">
        <f>Community_Solar_Business_Case!R15/((1-'Key_Assumptions_&amp;_Inputs'!$E$59)*'Key_Assumptions_&amp;_Inputs'!$E$35/'Key_Assumptions_&amp;_Inputs'!$E$22)</f>
        <v>1</v>
      </c>
      <c r="R83" s="483">
        <f>Community_Solar_Business_Case!S15/((1-'Key_Assumptions_&amp;_Inputs'!$E$59)*'Key_Assumptions_&amp;_Inputs'!$E$35/'Key_Assumptions_&amp;_Inputs'!$E$22)</f>
        <v>1</v>
      </c>
      <c r="S83" s="483">
        <f>Community_Solar_Business_Case!T15/((1-'Key_Assumptions_&amp;_Inputs'!$E$59)*'Key_Assumptions_&amp;_Inputs'!$E$35/'Key_Assumptions_&amp;_Inputs'!$E$22)</f>
        <v>1</v>
      </c>
      <c r="T83" s="483">
        <f>Community_Solar_Business_Case!U15/((1-'Key_Assumptions_&amp;_Inputs'!$E$59)*'Key_Assumptions_&amp;_Inputs'!$E$35/'Key_Assumptions_&amp;_Inputs'!$E$22)</f>
        <v>1</v>
      </c>
      <c r="U83" s="483">
        <f>Community_Solar_Business_Case!V15/((1-'Key_Assumptions_&amp;_Inputs'!$E$59)*'Key_Assumptions_&amp;_Inputs'!$E$35/'Key_Assumptions_&amp;_Inputs'!$E$22)</f>
        <v>1</v>
      </c>
      <c r="V83" s="483">
        <f>Community_Solar_Business_Case!W15/((1-'Key_Assumptions_&amp;_Inputs'!$E$59)*'Key_Assumptions_&amp;_Inputs'!$E$35/'Key_Assumptions_&amp;_Inputs'!$E$22)</f>
        <v>1</v>
      </c>
      <c r="W83" s="483">
        <f>Community_Solar_Business_Case!X15/((1-'Key_Assumptions_&amp;_Inputs'!$E$59)*'Key_Assumptions_&amp;_Inputs'!$E$35/'Key_Assumptions_&amp;_Inputs'!$E$22)</f>
        <v>1</v>
      </c>
      <c r="X83" s="483">
        <f>Community_Solar_Business_Case!Y15/((1-'Key_Assumptions_&amp;_Inputs'!$E$59)*'Key_Assumptions_&amp;_Inputs'!$E$35/'Key_Assumptions_&amp;_Inputs'!$E$22)</f>
        <v>1</v>
      </c>
      <c r="Y83" s="483">
        <f>Community_Solar_Business_Case!Z15/((1-'Key_Assumptions_&amp;_Inputs'!$E$59)*'Key_Assumptions_&amp;_Inputs'!$E$35/'Key_Assumptions_&amp;_Inputs'!$E$22)</f>
        <v>1</v>
      </c>
      <c r="Z83" s="483">
        <f>Community_Solar_Business_Case!AA15/((1-'Key_Assumptions_&amp;_Inputs'!$E$59)*'Key_Assumptions_&amp;_Inputs'!$E$35/'Key_Assumptions_&amp;_Inputs'!$E$22)</f>
        <v>1</v>
      </c>
      <c r="AA83" s="483">
        <f>Community_Solar_Business_Case!AB15/((1-'Key_Assumptions_&amp;_Inputs'!$E$59)*'Key_Assumptions_&amp;_Inputs'!$E$35/'Key_Assumptions_&amp;_Inputs'!$E$22)</f>
        <v>1</v>
      </c>
      <c r="AB83" s="483">
        <f>Community_Solar_Business_Case!AC15/((1-'Key_Assumptions_&amp;_Inputs'!$E$59)*'Key_Assumptions_&amp;_Inputs'!$E$35/'Key_Assumptions_&amp;_Inputs'!$E$22)</f>
        <v>1</v>
      </c>
      <c r="AC83" s="535">
        <f>Community_Solar_Business_Case!AD15/((1-'Key_Assumptions_&amp;_Inputs'!$E$59)*'Key_Assumptions_&amp;_Inputs'!$E$35/'Key_Assumptions_&amp;_Inputs'!$E$22)</f>
        <v>1</v>
      </c>
      <c r="AD83" s="505"/>
      <c r="AG83" s="505"/>
      <c r="AH83" s="505"/>
      <c r="AI83" s="505"/>
      <c r="AJ83" s="505"/>
      <c r="AK83" s="505"/>
      <c r="AL83" s="505"/>
      <c r="AM83" s="505"/>
      <c r="AN83" s="466"/>
      <c r="AO83" s="466"/>
      <c r="AP83" s="466"/>
      <c r="AQ83" s="466"/>
      <c r="AR83" s="466"/>
      <c r="AS83" s="466"/>
      <c r="AT83" s="466"/>
      <c r="AU83" s="466"/>
      <c r="AV83" s="466"/>
      <c r="AW83" s="466"/>
      <c r="AX83" s="466"/>
      <c r="AY83" s="458"/>
      <c r="AZ83" s="458"/>
      <c r="BA83" s="458"/>
      <c r="BB83" s="458"/>
      <c r="BC83" s="488"/>
      <c r="BD83" s="488"/>
      <c r="BE83" s="488"/>
      <c r="BF83" s="488"/>
      <c r="BG83" s="488"/>
      <c r="BH83" s="488"/>
      <c r="BI83" s="488"/>
      <c r="BJ83" s="488"/>
      <c r="BK83" s="488"/>
      <c r="BL83" s="488"/>
      <c r="BM83" s="488"/>
      <c r="BN83" s="488"/>
      <c r="BO83" s="488"/>
      <c r="BP83" s="488"/>
    </row>
    <row r="84" spans="1:68" x14ac:dyDescent="0.25">
      <c r="B84" s="759" t="s">
        <v>188</v>
      </c>
      <c r="C84" s="760"/>
      <c r="D84" s="534"/>
      <c r="E84" s="536">
        <f>ROUNDUP(Community_Solar_Business_Case!F15,1)</f>
        <v>136.5</v>
      </c>
      <c r="F84" s="536">
        <f>ROUNDUP(Community_Solar_Business_Case!G15,1)</f>
        <v>136.5</v>
      </c>
      <c r="G84" s="536">
        <f>ROUNDUP(Community_Solar_Business_Case!H15,1)</f>
        <v>136.5</v>
      </c>
      <c r="H84" s="536">
        <f>ROUNDUP(Community_Solar_Business_Case!I15,1)</f>
        <v>136.5</v>
      </c>
      <c r="I84" s="536">
        <f>ROUNDUP(Community_Solar_Business_Case!J15,1)</f>
        <v>136.5</v>
      </c>
      <c r="J84" s="536">
        <f>ROUNDUP(Community_Solar_Business_Case!K15,1)</f>
        <v>136.5</v>
      </c>
      <c r="K84" s="536">
        <f>ROUNDUP(Community_Solar_Business_Case!L15,1)</f>
        <v>136.5</v>
      </c>
      <c r="L84" s="536">
        <f>ROUNDUP(Community_Solar_Business_Case!M15,1)</f>
        <v>136.5</v>
      </c>
      <c r="M84" s="536">
        <f>ROUNDUP(Community_Solar_Business_Case!N15,1)</f>
        <v>136.5</v>
      </c>
      <c r="N84" s="536">
        <f>ROUNDUP(Community_Solar_Business_Case!O15,1)</f>
        <v>136.5</v>
      </c>
      <c r="O84" s="536">
        <f>ROUNDUP(Community_Solar_Business_Case!P15,1)</f>
        <v>136.5</v>
      </c>
      <c r="P84" s="536">
        <f>ROUNDUP(Community_Solar_Business_Case!Q15,1)</f>
        <v>136.5</v>
      </c>
      <c r="Q84" s="536">
        <f>ROUNDUP(Community_Solar_Business_Case!R15,1)</f>
        <v>136.5</v>
      </c>
      <c r="R84" s="536">
        <f>ROUNDUP(Community_Solar_Business_Case!S15,1)</f>
        <v>136.5</v>
      </c>
      <c r="S84" s="536">
        <f>ROUNDUP(Community_Solar_Business_Case!T15,1)</f>
        <v>136.5</v>
      </c>
      <c r="T84" s="536">
        <f>ROUNDUP(Community_Solar_Business_Case!U15,1)</f>
        <v>136.5</v>
      </c>
      <c r="U84" s="536">
        <f>ROUNDUP(Community_Solar_Business_Case!V15,1)</f>
        <v>136.5</v>
      </c>
      <c r="V84" s="536">
        <f>ROUNDUP(Community_Solar_Business_Case!W15,1)</f>
        <v>136.5</v>
      </c>
      <c r="W84" s="536">
        <f>ROUNDUP(Community_Solar_Business_Case!X15,1)</f>
        <v>136.5</v>
      </c>
      <c r="X84" s="536">
        <f>ROUNDUP(Community_Solar_Business_Case!Y15,1)</f>
        <v>136.5</v>
      </c>
      <c r="Y84" s="536">
        <f>ROUNDUP(Community_Solar_Business_Case!Z15,1)</f>
        <v>136.5</v>
      </c>
      <c r="Z84" s="536">
        <f>ROUNDUP(Community_Solar_Business_Case!AA15,1)</f>
        <v>136.5</v>
      </c>
      <c r="AA84" s="536">
        <f>ROUNDUP(Community_Solar_Business_Case!AB15,1)</f>
        <v>136.5</v>
      </c>
      <c r="AB84" s="536">
        <f>ROUNDUP(Community_Solar_Business_Case!AC15,1)</f>
        <v>136.5</v>
      </c>
      <c r="AC84" s="537">
        <f>ROUNDUP(Community_Solar_Business_Case!AD15,1)</f>
        <v>136.5</v>
      </c>
      <c r="AD84" s="505"/>
      <c r="AG84" s="505"/>
      <c r="AH84" s="505"/>
      <c r="AI84" s="505"/>
      <c r="AJ84" s="505"/>
      <c r="AK84" s="505"/>
      <c r="AL84" s="505"/>
      <c r="AM84" s="505"/>
      <c r="AN84" s="505"/>
      <c r="AO84" s="505"/>
      <c r="AP84" s="505"/>
      <c r="AQ84" s="505"/>
      <c r="AR84" s="505"/>
      <c r="AS84" s="505"/>
      <c r="AT84" s="505"/>
      <c r="AU84" s="505"/>
      <c r="AV84" s="505"/>
      <c r="AW84" s="505"/>
      <c r="AX84" s="505"/>
      <c r="AY84" s="458"/>
      <c r="AZ84" s="458"/>
      <c r="BA84" s="458"/>
      <c r="BB84" s="458"/>
      <c r="BC84" s="488"/>
      <c r="BD84" s="488"/>
      <c r="BE84" s="488"/>
      <c r="BF84" s="488"/>
      <c r="BG84" s="488"/>
      <c r="BH84" s="488"/>
      <c r="BI84" s="488"/>
      <c r="BJ84" s="488"/>
      <c r="BK84" s="488"/>
      <c r="BL84" s="488"/>
      <c r="BM84" s="488"/>
      <c r="BN84" s="488"/>
      <c r="BO84" s="488"/>
      <c r="BP84" s="488"/>
    </row>
    <row r="85" spans="1:68" x14ac:dyDescent="0.25">
      <c r="B85" s="759" t="s">
        <v>186</v>
      </c>
      <c r="C85" s="760"/>
      <c r="D85" s="534"/>
      <c r="E85" s="536">
        <f>ROUNDUP(Community_Solar_Business_Case!F14,1)</f>
        <v>0</v>
      </c>
      <c r="F85" s="536">
        <f>ROUNDUP(Community_Solar_Business_Case!G14,1)</f>
        <v>2.1</v>
      </c>
      <c r="G85" s="536">
        <f>ROUNDUP(Community_Solar_Business_Case!H14,1)</f>
        <v>2.1</v>
      </c>
      <c r="H85" s="536">
        <f>ROUNDUP(Community_Solar_Business_Case!I14,1)</f>
        <v>2.1</v>
      </c>
      <c r="I85" s="536">
        <f>ROUNDUP(Community_Solar_Business_Case!J14,1)</f>
        <v>2.1</v>
      </c>
      <c r="J85" s="536">
        <f>ROUNDUP(Community_Solar_Business_Case!K14,1)</f>
        <v>2.1</v>
      </c>
      <c r="K85" s="536">
        <f>ROUNDUP(Community_Solar_Business_Case!L14,1)</f>
        <v>2.1</v>
      </c>
      <c r="L85" s="536">
        <f>ROUNDUP(Community_Solar_Business_Case!M14,1)</f>
        <v>2.1</v>
      </c>
      <c r="M85" s="536">
        <f>ROUNDUP(Community_Solar_Business_Case!N14,1)</f>
        <v>2.1</v>
      </c>
      <c r="N85" s="536">
        <f>ROUNDUP(Community_Solar_Business_Case!O14,1)</f>
        <v>2.1</v>
      </c>
      <c r="O85" s="536">
        <f>ROUNDUP(Community_Solar_Business_Case!P14,1)</f>
        <v>2.1</v>
      </c>
      <c r="P85" s="536">
        <f>ROUNDUP(Community_Solar_Business_Case!Q14,1)</f>
        <v>2.1</v>
      </c>
      <c r="Q85" s="536">
        <f>ROUNDUP(Community_Solar_Business_Case!R14,1)</f>
        <v>2.1</v>
      </c>
      <c r="R85" s="536">
        <f>ROUNDUP(Community_Solar_Business_Case!S14,1)</f>
        <v>2.1</v>
      </c>
      <c r="S85" s="536">
        <f>ROUNDUP(Community_Solar_Business_Case!T14,1)</f>
        <v>2.1</v>
      </c>
      <c r="T85" s="536">
        <f>ROUNDUP(Community_Solar_Business_Case!U14,1)</f>
        <v>2.1</v>
      </c>
      <c r="U85" s="536">
        <f>ROUNDUP(Community_Solar_Business_Case!V14,1)</f>
        <v>2.1</v>
      </c>
      <c r="V85" s="536">
        <f>ROUNDUP(Community_Solar_Business_Case!W14,1)</f>
        <v>2.1</v>
      </c>
      <c r="W85" s="536">
        <f>ROUNDUP(Community_Solar_Business_Case!X14,1)</f>
        <v>2.1</v>
      </c>
      <c r="X85" s="536">
        <f>ROUNDUP(Community_Solar_Business_Case!Y14,1)</f>
        <v>2.1</v>
      </c>
      <c r="Y85" s="536">
        <f>ROUNDUP(Community_Solar_Business_Case!Z14,1)</f>
        <v>2.1</v>
      </c>
      <c r="Z85" s="536">
        <f>ROUNDUP(Community_Solar_Business_Case!AA14,1)</f>
        <v>2.1</v>
      </c>
      <c r="AA85" s="536">
        <f>ROUNDUP(Community_Solar_Business_Case!AB14,1)</f>
        <v>2.1</v>
      </c>
      <c r="AB85" s="536">
        <f>ROUNDUP(Community_Solar_Business_Case!AC14,1)</f>
        <v>2.1</v>
      </c>
      <c r="AC85" s="537">
        <f>ROUNDUP(Community_Solar_Business_Case!AD14,1)</f>
        <v>2.1</v>
      </c>
      <c r="AD85" s="505"/>
      <c r="AE85" s="538" t="s">
        <v>233</v>
      </c>
      <c r="AG85" s="505"/>
      <c r="AH85" s="505"/>
      <c r="AI85" s="505"/>
      <c r="AJ85" s="505"/>
      <c r="AK85" s="505"/>
      <c r="AL85" s="505"/>
      <c r="AM85" s="505"/>
      <c r="AN85" s="505"/>
      <c r="AO85" s="505"/>
      <c r="AP85" s="505"/>
      <c r="AQ85" s="505"/>
      <c r="AR85" s="505"/>
      <c r="AS85" s="505"/>
      <c r="AT85" s="505"/>
      <c r="AU85" s="505"/>
      <c r="AV85" s="505"/>
      <c r="AW85" s="505"/>
      <c r="AX85" s="505"/>
      <c r="AY85" s="458"/>
      <c r="AZ85" s="458"/>
      <c r="BA85" s="458"/>
      <c r="BB85" s="458"/>
      <c r="BC85" s="488"/>
      <c r="BD85" s="488"/>
      <c r="BE85" s="488"/>
      <c r="BF85" s="488"/>
      <c r="BG85" s="488"/>
      <c r="BH85" s="488"/>
      <c r="BI85" s="488"/>
      <c r="BJ85" s="488"/>
      <c r="BK85" s="488"/>
      <c r="BL85" s="488"/>
      <c r="BM85" s="488"/>
      <c r="BN85" s="488"/>
      <c r="BO85" s="488"/>
      <c r="BP85" s="488"/>
    </row>
    <row r="86" spans="1:68" ht="15.75" thickBot="1" x14ac:dyDescent="0.3">
      <c r="B86" s="764" t="s">
        <v>187</v>
      </c>
      <c r="C86" s="765"/>
      <c r="D86" s="541"/>
      <c r="E86" s="542">
        <f>ROUNDUP(Community_Solar_Business_Case!F13,1)</f>
        <v>136.5</v>
      </c>
      <c r="F86" s="542">
        <f>ROUNDUP(Community_Solar_Business_Case!G13,1)</f>
        <v>2.1</v>
      </c>
      <c r="G86" s="542">
        <f>ROUNDUP(Community_Solar_Business_Case!H13,1)</f>
        <v>2.1</v>
      </c>
      <c r="H86" s="542">
        <f>ROUNDUP(Community_Solar_Business_Case!I13,1)</f>
        <v>2.1</v>
      </c>
      <c r="I86" s="542">
        <f>ROUNDUP(Community_Solar_Business_Case!J13,1)</f>
        <v>2.1</v>
      </c>
      <c r="J86" s="542">
        <f>ROUNDUP(Community_Solar_Business_Case!K13,1)</f>
        <v>2.1</v>
      </c>
      <c r="K86" s="542">
        <f>ROUNDUP(Community_Solar_Business_Case!L13,1)</f>
        <v>2.1</v>
      </c>
      <c r="L86" s="542">
        <f>ROUNDUP(Community_Solar_Business_Case!M13,1)</f>
        <v>2.1</v>
      </c>
      <c r="M86" s="542">
        <f>ROUNDUP(Community_Solar_Business_Case!N13,1)</f>
        <v>2.1</v>
      </c>
      <c r="N86" s="542">
        <f>ROUNDUP(Community_Solar_Business_Case!O13,1)</f>
        <v>2.1</v>
      </c>
      <c r="O86" s="542">
        <f>ROUNDUP(Community_Solar_Business_Case!P13,1)</f>
        <v>2.1</v>
      </c>
      <c r="P86" s="542">
        <f>ROUNDUP(Community_Solar_Business_Case!Q13,1)</f>
        <v>2.1</v>
      </c>
      <c r="Q86" s="542">
        <f>ROUNDUP(Community_Solar_Business_Case!R13,1)</f>
        <v>2.1</v>
      </c>
      <c r="R86" s="542">
        <f>ROUNDUP(Community_Solar_Business_Case!S13,1)</f>
        <v>2.1</v>
      </c>
      <c r="S86" s="542">
        <f>ROUNDUP(Community_Solar_Business_Case!T13,1)</f>
        <v>2.1</v>
      </c>
      <c r="T86" s="542">
        <f>ROUNDUP(Community_Solar_Business_Case!U13,1)</f>
        <v>2.1</v>
      </c>
      <c r="U86" s="542">
        <f>ROUNDUP(Community_Solar_Business_Case!V13,1)</f>
        <v>2.1</v>
      </c>
      <c r="V86" s="542">
        <f>ROUNDUP(Community_Solar_Business_Case!W13,1)</f>
        <v>2.1</v>
      </c>
      <c r="W86" s="542">
        <f>ROUNDUP(Community_Solar_Business_Case!X13,1)</f>
        <v>2.1</v>
      </c>
      <c r="X86" s="542">
        <f>ROUNDUP(Community_Solar_Business_Case!Y13,1)</f>
        <v>2.1</v>
      </c>
      <c r="Y86" s="542">
        <f>ROUNDUP(Community_Solar_Business_Case!Z13,1)</f>
        <v>2.1</v>
      </c>
      <c r="Z86" s="542">
        <f>ROUNDUP(Community_Solar_Business_Case!AA13,1)</f>
        <v>2.1</v>
      </c>
      <c r="AA86" s="542">
        <f>ROUNDUP(Community_Solar_Business_Case!AB13,1)</f>
        <v>2.1</v>
      </c>
      <c r="AB86" s="542">
        <f>ROUNDUP(Community_Solar_Business_Case!AC13,1)</f>
        <v>2.1</v>
      </c>
      <c r="AC86" s="543">
        <f>ROUNDUP(Community_Solar_Business_Case!AD13,1)</f>
        <v>2.1</v>
      </c>
      <c r="AD86" s="505"/>
      <c r="AE86" s="539" t="s">
        <v>225</v>
      </c>
      <c r="AF86" s="540" t="s">
        <v>226</v>
      </c>
      <c r="AG86" s="540" t="s">
        <v>227</v>
      </c>
      <c r="AH86" s="505"/>
      <c r="AI86" s="505"/>
      <c r="AJ86" s="505"/>
      <c r="AK86" s="505"/>
      <c r="AL86" s="505"/>
      <c r="AM86" s="505"/>
      <c r="AN86" s="505"/>
      <c r="AO86" s="505"/>
      <c r="AP86" s="505"/>
      <c r="AQ86" s="505"/>
      <c r="AR86" s="505"/>
      <c r="AS86" s="505"/>
      <c r="AT86" s="505"/>
      <c r="AU86" s="505"/>
      <c r="AV86" s="505"/>
      <c r="AW86" s="505"/>
      <c r="AX86" s="505"/>
      <c r="AY86" s="458"/>
      <c r="AZ86" s="458"/>
      <c r="BA86" s="458"/>
      <c r="BB86" s="458"/>
      <c r="BC86" s="488"/>
      <c r="BD86" s="488"/>
      <c r="BE86" s="488"/>
      <c r="BF86" s="488"/>
      <c r="BG86" s="488"/>
      <c r="BH86" s="488"/>
      <c r="BI86" s="488"/>
      <c r="BJ86" s="488"/>
      <c r="BK86" s="488"/>
      <c r="BL86" s="488"/>
      <c r="BM86" s="488"/>
      <c r="BN86" s="488"/>
      <c r="BO86" s="488"/>
      <c r="BP86" s="488"/>
    </row>
    <row r="87" spans="1:68" x14ac:dyDescent="0.25">
      <c r="A87" s="545"/>
      <c r="B87" s="545"/>
      <c r="C87" s="545"/>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4" t="s">
        <v>234</v>
      </c>
      <c r="AF87" s="313">
        <v>0.25</v>
      </c>
      <c r="AG87" s="313">
        <v>0.15</v>
      </c>
      <c r="AH87" s="377"/>
      <c r="AI87" s="505"/>
      <c r="AJ87" s="505"/>
      <c r="AK87" s="505"/>
      <c r="AL87" s="505"/>
      <c r="AM87" s="505"/>
      <c r="AN87" s="505"/>
      <c r="AO87" s="505"/>
      <c r="AP87" s="505"/>
      <c r="AQ87" s="505"/>
      <c r="AR87" s="505"/>
      <c r="AS87" s="505"/>
      <c r="AT87" s="505"/>
      <c r="AU87" s="505"/>
      <c r="AV87" s="505"/>
      <c r="AW87" s="505"/>
      <c r="AX87" s="505"/>
      <c r="AY87" s="458"/>
      <c r="AZ87" s="458"/>
      <c r="BA87" s="458"/>
      <c r="BB87" s="458"/>
      <c r="BC87" s="488"/>
      <c r="BD87" s="488"/>
      <c r="BE87" s="488"/>
      <c r="BF87" s="488"/>
      <c r="BG87" s="488"/>
      <c r="BH87" s="488"/>
      <c r="BI87" s="488"/>
      <c r="BJ87" s="488"/>
      <c r="BK87" s="488"/>
      <c r="BL87" s="488"/>
      <c r="BM87" s="488"/>
      <c r="BN87" s="488"/>
      <c r="BO87" s="488"/>
      <c r="BP87" s="488"/>
    </row>
    <row r="88" spans="1:68" ht="15.75" thickBot="1" x14ac:dyDescent="0.3">
      <c r="B88" s="766"/>
      <c r="C88" s="766"/>
      <c r="D88" s="377"/>
      <c r="E88" s="505"/>
      <c r="F88" s="505"/>
      <c r="G88" s="505"/>
      <c r="H88" s="505"/>
      <c r="I88" s="505"/>
      <c r="J88" s="505"/>
      <c r="K88" s="505"/>
      <c r="L88" s="505"/>
      <c r="M88" s="505"/>
      <c r="N88" s="505"/>
      <c r="O88" s="505"/>
      <c r="P88" s="505"/>
      <c r="Q88" s="505"/>
      <c r="R88" s="505"/>
      <c r="S88" s="505"/>
      <c r="T88" s="505"/>
      <c r="U88" s="505"/>
      <c r="V88" s="505"/>
      <c r="W88" s="505"/>
      <c r="X88" s="505"/>
      <c r="Y88" s="505"/>
      <c r="Z88" s="505"/>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458"/>
      <c r="AZ88" s="458"/>
      <c r="BA88" s="458"/>
      <c r="BB88" s="458"/>
      <c r="BC88" s="488"/>
      <c r="BD88" s="488"/>
      <c r="BE88" s="488"/>
      <c r="BF88" s="488"/>
      <c r="BG88" s="488"/>
      <c r="BH88" s="488"/>
      <c r="BI88" s="488"/>
      <c r="BJ88" s="488"/>
      <c r="BK88" s="488"/>
      <c r="BL88" s="488"/>
      <c r="BM88" s="488"/>
      <c r="BN88" s="488"/>
      <c r="BO88" s="488"/>
      <c r="BP88" s="488"/>
    </row>
    <row r="89" spans="1:68" x14ac:dyDescent="0.25">
      <c r="B89" s="757" t="s">
        <v>124</v>
      </c>
      <c r="C89" s="758"/>
      <c r="D89" s="533"/>
      <c r="E89" s="518">
        <v>1</v>
      </c>
      <c r="F89" s="518">
        <f t="shared" ref="F89:AC89" si="25">E89+1</f>
        <v>2</v>
      </c>
      <c r="G89" s="518">
        <f t="shared" si="25"/>
        <v>3</v>
      </c>
      <c r="H89" s="518">
        <f t="shared" si="25"/>
        <v>4</v>
      </c>
      <c r="I89" s="518">
        <f t="shared" si="25"/>
        <v>5</v>
      </c>
      <c r="J89" s="518">
        <f t="shared" si="25"/>
        <v>6</v>
      </c>
      <c r="K89" s="518">
        <f t="shared" si="25"/>
        <v>7</v>
      </c>
      <c r="L89" s="518">
        <f t="shared" si="25"/>
        <v>8</v>
      </c>
      <c r="M89" s="518">
        <f t="shared" si="25"/>
        <v>9</v>
      </c>
      <c r="N89" s="518">
        <f t="shared" si="25"/>
        <v>10</v>
      </c>
      <c r="O89" s="518">
        <f t="shared" si="25"/>
        <v>11</v>
      </c>
      <c r="P89" s="518">
        <f t="shared" si="25"/>
        <v>12</v>
      </c>
      <c r="Q89" s="518">
        <f t="shared" si="25"/>
        <v>13</v>
      </c>
      <c r="R89" s="518">
        <f t="shared" si="25"/>
        <v>14</v>
      </c>
      <c r="S89" s="518">
        <f t="shared" si="25"/>
        <v>15</v>
      </c>
      <c r="T89" s="518">
        <f t="shared" si="25"/>
        <v>16</v>
      </c>
      <c r="U89" s="518">
        <f t="shared" si="25"/>
        <v>17</v>
      </c>
      <c r="V89" s="518">
        <f t="shared" si="25"/>
        <v>18</v>
      </c>
      <c r="W89" s="518">
        <f t="shared" si="25"/>
        <v>19</v>
      </c>
      <c r="X89" s="518">
        <f t="shared" si="25"/>
        <v>20</v>
      </c>
      <c r="Y89" s="518">
        <f t="shared" si="25"/>
        <v>21</v>
      </c>
      <c r="Z89" s="518">
        <f t="shared" si="25"/>
        <v>22</v>
      </c>
      <c r="AA89" s="518">
        <f t="shared" si="25"/>
        <v>23</v>
      </c>
      <c r="AB89" s="518">
        <f t="shared" si="25"/>
        <v>24</v>
      </c>
      <c r="AC89" s="520">
        <f t="shared" si="25"/>
        <v>25</v>
      </c>
      <c r="AD89" s="505"/>
      <c r="AE89" s="546" t="s">
        <v>157</v>
      </c>
      <c r="AF89" s="546"/>
      <c r="AG89" s="505"/>
      <c r="AH89" s="505"/>
      <c r="AI89" s="505"/>
      <c r="AJ89" s="505"/>
      <c r="AK89" s="505"/>
      <c r="AL89" s="505"/>
      <c r="AM89" s="505"/>
      <c r="AN89" s="505"/>
      <c r="AO89" s="505"/>
      <c r="AP89" s="505"/>
      <c r="AQ89" s="505"/>
      <c r="AR89" s="505"/>
      <c r="AS89" s="505"/>
      <c r="AT89" s="505"/>
      <c r="AU89" s="505"/>
      <c r="AV89" s="505"/>
      <c r="AW89" s="505"/>
      <c r="AX89" s="505"/>
      <c r="AY89" s="458"/>
      <c r="AZ89" s="458"/>
      <c r="BA89" s="458"/>
      <c r="BB89" s="458"/>
      <c r="BC89" s="488"/>
      <c r="BD89" s="488"/>
      <c r="BE89" s="488"/>
      <c r="BF89" s="488"/>
      <c r="BG89" s="488"/>
      <c r="BH89" s="488"/>
      <c r="BI89" s="488"/>
      <c r="BJ89" s="488"/>
      <c r="BK89" s="488"/>
      <c r="BL89" s="488"/>
      <c r="BM89" s="488"/>
      <c r="BN89" s="488"/>
      <c r="BO89" s="488"/>
      <c r="BP89" s="488"/>
    </row>
    <row r="90" spans="1:68" x14ac:dyDescent="0.25">
      <c r="B90" s="759" t="s">
        <v>219</v>
      </c>
      <c r="C90" s="760"/>
      <c r="D90" s="534"/>
      <c r="E90" s="484">
        <f>E86*$J$40</f>
        <v>10237.5</v>
      </c>
      <c r="F90" s="484">
        <f t="shared" ref="F90:AC90" si="26">F86*$J$40</f>
        <v>157.5</v>
      </c>
      <c r="G90" s="484">
        <f t="shared" si="26"/>
        <v>157.5</v>
      </c>
      <c r="H90" s="484">
        <f t="shared" si="26"/>
        <v>157.5</v>
      </c>
      <c r="I90" s="484">
        <f t="shared" si="26"/>
        <v>157.5</v>
      </c>
      <c r="J90" s="484">
        <f t="shared" si="26"/>
        <v>157.5</v>
      </c>
      <c r="K90" s="484">
        <f t="shared" si="26"/>
        <v>157.5</v>
      </c>
      <c r="L90" s="484">
        <f t="shared" si="26"/>
        <v>157.5</v>
      </c>
      <c r="M90" s="484">
        <f t="shared" si="26"/>
        <v>157.5</v>
      </c>
      <c r="N90" s="484">
        <f t="shared" si="26"/>
        <v>157.5</v>
      </c>
      <c r="O90" s="484">
        <f t="shared" si="26"/>
        <v>157.5</v>
      </c>
      <c r="P90" s="484">
        <f t="shared" si="26"/>
        <v>157.5</v>
      </c>
      <c r="Q90" s="484">
        <f t="shared" si="26"/>
        <v>157.5</v>
      </c>
      <c r="R90" s="484">
        <f t="shared" si="26"/>
        <v>157.5</v>
      </c>
      <c r="S90" s="484">
        <f t="shared" si="26"/>
        <v>157.5</v>
      </c>
      <c r="T90" s="484">
        <f t="shared" si="26"/>
        <v>157.5</v>
      </c>
      <c r="U90" s="484">
        <f t="shared" si="26"/>
        <v>157.5</v>
      </c>
      <c r="V90" s="484">
        <f t="shared" si="26"/>
        <v>157.5</v>
      </c>
      <c r="W90" s="484">
        <f t="shared" si="26"/>
        <v>157.5</v>
      </c>
      <c r="X90" s="484">
        <f t="shared" si="26"/>
        <v>157.5</v>
      </c>
      <c r="Y90" s="484">
        <f t="shared" si="26"/>
        <v>157.5</v>
      </c>
      <c r="Z90" s="484">
        <f t="shared" si="26"/>
        <v>157.5</v>
      </c>
      <c r="AA90" s="484">
        <f t="shared" si="26"/>
        <v>157.5</v>
      </c>
      <c r="AB90" s="484">
        <f t="shared" si="26"/>
        <v>157.5</v>
      </c>
      <c r="AC90" s="547">
        <f t="shared" si="26"/>
        <v>157.5</v>
      </c>
      <c r="AD90" s="505"/>
      <c r="AE90" s="539" t="s">
        <v>225</v>
      </c>
      <c r="AF90" s="540" t="s">
        <v>226</v>
      </c>
      <c r="AG90" s="540" t="s">
        <v>235</v>
      </c>
      <c r="AH90" s="505"/>
      <c r="AI90" s="505"/>
      <c r="AJ90" s="505"/>
      <c r="AK90" s="505"/>
      <c r="AL90" s="505"/>
      <c r="AM90" s="505"/>
      <c r="AN90" s="505"/>
      <c r="AO90" s="505"/>
      <c r="AP90" s="505"/>
      <c r="AQ90" s="505"/>
      <c r="AR90" s="505"/>
      <c r="AS90" s="505"/>
      <c r="AT90" s="505"/>
      <c r="AU90" s="505"/>
      <c r="AV90" s="505"/>
      <c r="AW90" s="505"/>
      <c r="AX90" s="505"/>
      <c r="AY90" s="458"/>
      <c r="AZ90" s="458"/>
      <c r="BA90" s="458"/>
      <c r="BB90" s="458"/>
      <c r="BC90" s="488"/>
      <c r="BD90" s="488"/>
      <c r="BE90" s="488"/>
      <c r="BF90" s="488"/>
      <c r="BG90" s="488"/>
      <c r="BH90" s="488"/>
      <c r="BI90" s="488"/>
      <c r="BJ90" s="488"/>
      <c r="BK90" s="488"/>
      <c r="BL90" s="488"/>
      <c r="BM90" s="488"/>
      <c r="BN90" s="488"/>
      <c r="BO90" s="488"/>
      <c r="BP90" s="488"/>
    </row>
    <row r="91" spans="1:68" x14ac:dyDescent="0.25">
      <c r="B91" s="759" t="s">
        <v>222</v>
      </c>
      <c r="C91" s="760"/>
      <c r="D91" s="534"/>
      <c r="E91" s="484">
        <f>J40</f>
        <v>75</v>
      </c>
      <c r="F91" s="484">
        <f>E91*1.03</f>
        <v>77.25</v>
      </c>
      <c r="G91" s="484">
        <f t="shared" ref="G91:AC91" si="27">F91*1.03</f>
        <v>79.567499999999995</v>
      </c>
      <c r="H91" s="484">
        <f t="shared" si="27"/>
        <v>81.954525000000004</v>
      </c>
      <c r="I91" s="484">
        <f t="shared" si="27"/>
        <v>84.413160750000003</v>
      </c>
      <c r="J91" s="484">
        <f t="shared" si="27"/>
        <v>86.945555572499998</v>
      </c>
      <c r="K91" s="484">
        <f t="shared" si="27"/>
        <v>89.553922239675003</v>
      </c>
      <c r="L91" s="484">
        <f t="shared" si="27"/>
        <v>92.240539906865251</v>
      </c>
      <c r="M91" s="484">
        <f t="shared" si="27"/>
        <v>95.007756104071206</v>
      </c>
      <c r="N91" s="484">
        <f t="shared" si="27"/>
        <v>97.857988787193349</v>
      </c>
      <c r="O91" s="484">
        <f t="shared" si="27"/>
        <v>100.79372845080916</v>
      </c>
      <c r="P91" s="484">
        <f t="shared" si="27"/>
        <v>103.81754030433343</v>
      </c>
      <c r="Q91" s="484">
        <f t="shared" si="27"/>
        <v>106.93206651346344</v>
      </c>
      <c r="R91" s="484">
        <f t="shared" si="27"/>
        <v>110.14002850886735</v>
      </c>
      <c r="S91" s="484">
        <f t="shared" si="27"/>
        <v>113.44422936413336</v>
      </c>
      <c r="T91" s="484">
        <f t="shared" si="27"/>
        <v>116.84755624505736</v>
      </c>
      <c r="U91" s="484">
        <f t="shared" si="27"/>
        <v>120.35298293240909</v>
      </c>
      <c r="V91" s="484">
        <f t="shared" si="27"/>
        <v>123.96357242038137</v>
      </c>
      <c r="W91" s="484">
        <f t="shared" si="27"/>
        <v>127.68247959299281</v>
      </c>
      <c r="X91" s="484">
        <f t="shared" si="27"/>
        <v>131.51295398078258</v>
      </c>
      <c r="Y91" s="484">
        <f t="shared" si="27"/>
        <v>135.45834260020607</v>
      </c>
      <c r="Z91" s="484">
        <f t="shared" si="27"/>
        <v>139.52209287821225</v>
      </c>
      <c r="AA91" s="484">
        <f t="shared" si="27"/>
        <v>143.70775566455862</v>
      </c>
      <c r="AB91" s="484">
        <f t="shared" si="27"/>
        <v>148.01898833449539</v>
      </c>
      <c r="AC91" s="548">
        <f t="shared" si="27"/>
        <v>152.45955798453025</v>
      </c>
      <c r="AD91" s="505"/>
      <c r="AE91" s="549" t="s">
        <v>230</v>
      </c>
      <c r="AF91" s="549" t="s">
        <v>230</v>
      </c>
      <c r="AG91" s="549" t="s">
        <v>230</v>
      </c>
      <c r="AH91" s="505"/>
      <c r="AI91" s="505"/>
      <c r="AJ91" s="505"/>
      <c r="AK91" s="505"/>
      <c r="AL91" s="505"/>
      <c r="AM91" s="505"/>
      <c r="AN91" s="505"/>
      <c r="AO91" s="505"/>
      <c r="AP91" s="505"/>
      <c r="AQ91" s="505"/>
      <c r="AR91" s="505"/>
      <c r="AS91" s="505"/>
      <c r="AT91" s="505"/>
      <c r="AU91" s="505"/>
      <c r="AV91" s="505"/>
      <c r="AW91" s="505"/>
      <c r="AX91" s="505"/>
      <c r="AY91" s="458"/>
      <c r="AZ91" s="458"/>
      <c r="BA91" s="458"/>
      <c r="BB91" s="458"/>
      <c r="BC91" s="488"/>
      <c r="BD91" s="488"/>
      <c r="BE91" s="488"/>
      <c r="BF91" s="488"/>
      <c r="BG91" s="488"/>
      <c r="BH91" s="488"/>
      <c r="BI91" s="488"/>
      <c r="BJ91" s="488"/>
      <c r="BK91" s="488"/>
      <c r="BL91" s="488"/>
      <c r="BM91" s="488"/>
      <c r="BN91" s="488"/>
      <c r="BO91" s="488"/>
      <c r="BP91" s="488"/>
    </row>
    <row r="92" spans="1:68" x14ac:dyDescent="0.25">
      <c r="B92" s="759" t="s">
        <v>157</v>
      </c>
      <c r="C92" s="760"/>
      <c r="D92" s="534"/>
      <c r="E92" s="550">
        <f>IF('Key_Assumptions_&amp;_Inputs'!$J$72="Easy",$AE$92,IF('Key_Assumptions_&amp;_Inputs'!$J$72="Moderate",$AE$93,IF('Key_Assumptions_&amp;_Inputs'!$J$72="Difficult",$AE$94)))</f>
        <v>1.75</v>
      </c>
      <c r="F92" s="550">
        <f>IF('Key_Assumptions_&amp;_Inputs'!$J$72="Easy",$AF$92,IF('Key_Assumptions_&amp;_Inputs'!$J$72="Moderate",$AF$93,IF('Key_Assumptions_&amp;_Inputs'!$J$72="Difficult",$AF$94)))</f>
        <v>1.3125</v>
      </c>
      <c r="G92" s="550">
        <f>IF('Key_Assumptions_&amp;_Inputs'!$J$72="Easy",$AG$92,IF('Key_Assumptions_&amp;_Inputs'!$J$72="Moderate",$AG$93,IF('Key_Assumptions_&amp;_Inputs'!$J$72="Difficult",$AG$94)))</f>
        <v>1.1156249999999999</v>
      </c>
      <c r="H92" s="550">
        <f>IF('Key_Assumptions_&amp;_Inputs'!$J$72="Easy",$AG$92,IF('Key_Assumptions_&amp;_Inputs'!$J$72="Moderate",$AG$93,IF('Key_Assumptions_&amp;_Inputs'!$J$72="Difficult",$AG$94)))</f>
        <v>1.1156249999999999</v>
      </c>
      <c r="I92" s="550">
        <f>IF('Key_Assumptions_&amp;_Inputs'!$J$72="Easy",$AG$92,IF('Key_Assumptions_&amp;_Inputs'!$J$72="Moderate",$AG$93,IF('Key_Assumptions_&amp;_Inputs'!$J$72="Difficult",$AG$94)))</f>
        <v>1.1156249999999999</v>
      </c>
      <c r="J92" s="550">
        <f>IF('Key_Assumptions_&amp;_Inputs'!$J$72="Easy",$AG$92,IF('Key_Assumptions_&amp;_Inputs'!$J$72="Moderate",$AG$93,IF('Key_Assumptions_&amp;_Inputs'!$J$72="Difficult",$AG$94)))</f>
        <v>1.1156249999999999</v>
      </c>
      <c r="K92" s="550">
        <f>IF('Key_Assumptions_&amp;_Inputs'!$J$72="Easy",$AG$92,IF('Key_Assumptions_&amp;_Inputs'!$J$72="Moderate",$AG$93,IF('Key_Assumptions_&amp;_Inputs'!$J$72="Difficult",$AG$94)))</f>
        <v>1.1156249999999999</v>
      </c>
      <c r="L92" s="550">
        <f>IF('Key_Assumptions_&amp;_Inputs'!$J$72="Easy",$AG$92,IF('Key_Assumptions_&amp;_Inputs'!$J$72="Moderate",$AG$93,IF('Key_Assumptions_&amp;_Inputs'!$J$72="Difficult",$AG$94)))</f>
        <v>1.1156249999999999</v>
      </c>
      <c r="M92" s="550">
        <f>IF('Key_Assumptions_&amp;_Inputs'!$J$72="Easy",$AG$92,IF('Key_Assumptions_&amp;_Inputs'!$J$72="Moderate",$AG$93,IF('Key_Assumptions_&amp;_Inputs'!$J$72="Difficult",$AG$94)))</f>
        <v>1.1156249999999999</v>
      </c>
      <c r="N92" s="550">
        <f>IF('Key_Assumptions_&amp;_Inputs'!$J$72="Easy",$AG$92,IF('Key_Assumptions_&amp;_Inputs'!$J$72="Moderate",$AG$93,IF('Key_Assumptions_&amp;_Inputs'!$J$72="Difficult",$AG$94)))</f>
        <v>1.1156249999999999</v>
      </c>
      <c r="O92" s="550">
        <f>IF('Key_Assumptions_&amp;_Inputs'!$J$72="Easy",$AG$92,IF('Key_Assumptions_&amp;_Inputs'!$J$72="Moderate",$AG$93,IF('Key_Assumptions_&amp;_Inputs'!$J$72="Difficult",$AG$94)))</f>
        <v>1.1156249999999999</v>
      </c>
      <c r="P92" s="550">
        <f>IF('Key_Assumptions_&amp;_Inputs'!$J$72="Easy",$AG$92,IF('Key_Assumptions_&amp;_Inputs'!$J$72="Moderate",$AG$93,IF('Key_Assumptions_&amp;_Inputs'!$J$72="Difficult",$AG$94)))</f>
        <v>1.1156249999999999</v>
      </c>
      <c r="Q92" s="550">
        <f>IF('Key_Assumptions_&amp;_Inputs'!$J$72="Easy",$AG$92,IF('Key_Assumptions_&amp;_Inputs'!$J$72="Moderate",$AG$93,IF('Key_Assumptions_&amp;_Inputs'!$J$72="Difficult",$AG$94)))</f>
        <v>1.1156249999999999</v>
      </c>
      <c r="R92" s="550">
        <f>IF('Key_Assumptions_&amp;_Inputs'!$J$72="Easy",$AG$92,IF('Key_Assumptions_&amp;_Inputs'!$J$72="Moderate",$AG$93,IF('Key_Assumptions_&amp;_Inputs'!$J$72="Difficult",$AG$94)))</f>
        <v>1.1156249999999999</v>
      </c>
      <c r="S92" s="550">
        <f>IF('Key_Assumptions_&amp;_Inputs'!$J$72="Easy",$AG$92,IF('Key_Assumptions_&amp;_Inputs'!$J$72="Moderate",$AG$93,IF('Key_Assumptions_&amp;_Inputs'!$J$72="Difficult",$AG$94)))</f>
        <v>1.1156249999999999</v>
      </c>
      <c r="T92" s="550">
        <f>IF('Key_Assumptions_&amp;_Inputs'!$J$72="Easy",$AG$92,IF('Key_Assumptions_&amp;_Inputs'!$J$72="Moderate",$AG$93,IF('Key_Assumptions_&amp;_Inputs'!$J$72="Difficult",$AG$94)))</f>
        <v>1.1156249999999999</v>
      </c>
      <c r="U92" s="550">
        <f>IF('Key_Assumptions_&amp;_Inputs'!$J$72="Easy",$AG$92,IF('Key_Assumptions_&amp;_Inputs'!$J$72="Moderate",$AG$93,IF('Key_Assumptions_&amp;_Inputs'!$J$72="Difficult",$AG$94)))</f>
        <v>1.1156249999999999</v>
      </c>
      <c r="V92" s="550">
        <f>IF('Key_Assumptions_&amp;_Inputs'!$J$72="Easy",$AG$92,IF('Key_Assumptions_&amp;_Inputs'!$J$72="Moderate",$AG$93,IF('Key_Assumptions_&amp;_Inputs'!$J$72="Difficult",$AG$94)))</f>
        <v>1.1156249999999999</v>
      </c>
      <c r="W92" s="550">
        <f>IF('Key_Assumptions_&amp;_Inputs'!$J$72="Easy",$AG$92,IF('Key_Assumptions_&amp;_Inputs'!$J$72="Moderate",$AG$93,IF('Key_Assumptions_&amp;_Inputs'!$J$72="Difficult",$AG$94)))</f>
        <v>1.1156249999999999</v>
      </c>
      <c r="X92" s="550">
        <f>IF('Key_Assumptions_&amp;_Inputs'!$J$72="Easy",$AG$92,IF('Key_Assumptions_&amp;_Inputs'!$J$72="Moderate",$AG$93,IF('Key_Assumptions_&amp;_Inputs'!$J$72="Difficult",$AG$94)))</f>
        <v>1.1156249999999999</v>
      </c>
      <c r="Y92" s="550">
        <f>IF('Key_Assumptions_&amp;_Inputs'!$J$72="Easy",$AG$92,IF('Key_Assumptions_&amp;_Inputs'!$J$72="Moderate",$AG$93,IF('Key_Assumptions_&amp;_Inputs'!$J$72="Difficult",$AG$94)))</f>
        <v>1.1156249999999999</v>
      </c>
      <c r="Z92" s="550">
        <f>IF('Key_Assumptions_&amp;_Inputs'!$J$72="Easy",$AG$92,IF('Key_Assumptions_&amp;_Inputs'!$J$72="Moderate",$AG$93,IF('Key_Assumptions_&amp;_Inputs'!$J$72="Difficult",$AG$94)))</f>
        <v>1.1156249999999999</v>
      </c>
      <c r="AA92" s="550">
        <f>IF('Key_Assumptions_&amp;_Inputs'!$J$72="Easy",$AG$92,IF('Key_Assumptions_&amp;_Inputs'!$J$72="Moderate",$AG$93,IF('Key_Assumptions_&amp;_Inputs'!$J$72="Difficult",$AG$94)))</f>
        <v>1.1156249999999999</v>
      </c>
      <c r="AB92" s="550">
        <f>IF('Key_Assumptions_&amp;_Inputs'!$J$72="Easy",$AG$92,IF('Key_Assumptions_&amp;_Inputs'!$J$72="Moderate",$AG$93,IF('Key_Assumptions_&amp;_Inputs'!$J$72="Difficult",$AG$94)))</f>
        <v>1.1156249999999999</v>
      </c>
      <c r="AC92" s="551">
        <f>IF('Key_Assumptions_&amp;_Inputs'!$J$72="Easy",$AG$92,IF('Key_Assumptions_&amp;_Inputs'!$J$72="Moderate",$AG$93,IF('Key_Assumptions_&amp;_Inputs'!$J$72="Difficult",$AG$94)))</f>
        <v>1.1156249999999999</v>
      </c>
      <c r="AD92" s="505" t="s">
        <v>217</v>
      </c>
      <c r="AE92" s="314">
        <v>1.5</v>
      </c>
      <c r="AF92" s="552">
        <f>AE92*(1-AF$87)</f>
        <v>1.125</v>
      </c>
      <c r="AG92" s="552">
        <f>AF92*(1-AG$87)</f>
        <v>0.95624999999999993</v>
      </c>
      <c r="AH92" s="505"/>
      <c r="AI92" s="505"/>
      <c r="AJ92" s="505"/>
      <c r="AK92" s="505"/>
      <c r="AL92" s="505"/>
      <c r="AM92" s="505"/>
      <c r="AN92" s="505"/>
      <c r="AO92" s="505"/>
      <c r="AP92" s="505"/>
      <c r="AQ92" s="505"/>
      <c r="AR92" s="505"/>
      <c r="AS92" s="505"/>
      <c r="AT92" s="505"/>
      <c r="AU92" s="505"/>
      <c r="AV92" s="505"/>
      <c r="AW92" s="505"/>
      <c r="AX92" s="505"/>
      <c r="AY92" s="458"/>
      <c r="AZ92" s="458"/>
      <c r="BA92" s="458"/>
      <c r="BB92" s="458"/>
      <c r="BC92" s="488"/>
      <c r="BD92" s="488"/>
      <c r="BE92" s="488"/>
      <c r="BF92" s="488"/>
      <c r="BG92" s="488"/>
      <c r="BH92" s="488"/>
      <c r="BI92" s="488"/>
      <c r="BJ92" s="488"/>
      <c r="BK92" s="488"/>
      <c r="BL92" s="488"/>
      <c r="BM92" s="488"/>
      <c r="BN92" s="488"/>
      <c r="BO92" s="488"/>
      <c r="BP92" s="488"/>
    </row>
    <row r="93" spans="1:68" x14ac:dyDescent="0.25">
      <c r="B93" s="759" t="s">
        <v>132</v>
      </c>
      <c r="C93" s="760"/>
      <c r="D93" s="534"/>
      <c r="E93" s="484">
        <f>$D$13</f>
        <v>50</v>
      </c>
      <c r="F93" s="485">
        <f>E93*(1+$D$14)</f>
        <v>51.5</v>
      </c>
      <c r="G93" s="485">
        <f t="shared" ref="G93:AC93" si="28">F93*(1+$D$14)</f>
        <v>53.045000000000002</v>
      </c>
      <c r="H93" s="485">
        <f t="shared" si="28"/>
        <v>54.63635</v>
      </c>
      <c r="I93" s="485">
        <f t="shared" si="28"/>
        <v>56.275440500000002</v>
      </c>
      <c r="J93" s="485">
        <f t="shared" si="28"/>
        <v>57.963703715000001</v>
      </c>
      <c r="K93" s="485">
        <f t="shared" si="28"/>
        <v>59.702614826450002</v>
      </c>
      <c r="L93" s="485">
        <f t="shared" si="28"/>
        <v>61.493693271243501</v>
      </c>
      <c r="M93" s="485">
        <f t="shared" si="28"/>
        <v>63.338504069380811</v>
      </c>
      <c r="N93" s="485">
        <f t="shared" si="28"/>
        <v>65.238659191462233</v>
      </c>
      <c r="O93" s="485">
        <f t="shared" si="28"/>
        <v>67.195818967206108</v>
      </c>
      <c r="P93" s="485">
        <f t="shared" si="28"/>
        <v>69.211693536222299</v>
      </c>
      <c r="Q93" s="485">
        <f t="shared" si="28"/>
        <v>71.288044342308964</v>
      </c>
      <c r="R93" s="485">
        <f t="shared" si="28"/>
        <v>73.42668567257823</v>
      </c>
      <c r="S93" s="485">
        <f t="shared" si="28"/>
        <v>75.629486242755576</v>
      </c>
      <c r="T93" s="485">
        <f t="shared" si="28"/>
        <v>77.898370830038246</v>
      </c>
      <c r="U93" s="485">
        <f t="shared" si="28"/>
        <v>80.235321954939394</v>
      </c>
      <c r="V93" s="485">
        <f t="shared" si="28"/>
        <v>82.642381613587574</v>
      </c>
      <c r="W93" s="485">
        <f t="shared" si="28"/>
        <v>85.121653061995204</v>
      </c>
      <c r="X93" s="485">
        <f t="shared" si="28"/>
        <v>87.675302653855056</v>
      </c>
      <c r="Y93" s="485">
        <f t="shared" si="28"/>
        <v>90.305561733470711</v>
      </c>
      <c r="Z93" s="485">
        <f t="shared" si="28"/>
        <v>93.014728585474828</v>
      </c>
      <c r="AA93" s="485">
        <f t="shared" si="28"/>
        <v>95.805170443039074</v>
      </c>
      <c r="AB93" s="485">
        <f t="shared" si="28"/>
        <v>98.679325556330255</v>
      </c>
      <c r="AC93" s="553">
        <f t="shared" si="28"/>
        <v>101.63970532302017</v>
      </c>
      <c r="AD93" s="505" t="s">
        <v>221</v>
      </c>
      <c r="AE93" s="314">
        <v>1.75</v>
      </c>
      <c r="AF93" s="552">
        <f t="shared" ref="AF93:AF94" si="29">AE93*(1-AF$87)</f>
        <v>1.3125</v>
      </c>
      <c r="AG93" s="552">
        <f t="shared" ref="AG93" si="30">AF93*(1-AG$87)</f>
        <v>1.1156249999999999</v>
      </c>
      <c r="AH93" s="505"/>
      <c r="AI93" s="505"/>
      <c r="AJ93" s="505"/>
      <c r="AK93" s="505"/>
      <c r="AL93" s="505"/>
      <c r="AM93" s="505"/>
      <c r="AN93" s="505"/>
      <c r="AO93" s="505"/>
      <c r="AP93" s="505"/>
      <c r="AQ93" s="505"/>
      <c r="AR93" s="505"/>
      <c r="AS93" s="505"/>
      <c r="AT93" s="505"/>
      <c r="AU93" s="505"/>
      <c r="AV93" s="505"/>
      <c r="AW93" s="505"/>
      <c r="AX93" s="505"/>
      <c r="AY93" s="458"/>
      <c r="AZ93" s="458"/>
      <c r="BA93" s="458"/>
      <c r="BB93" s="458"/>
      <c r="BC93" s="488"/>
      <c r="BD93" s="488"/>
      <c r="BE93" s="488"/>
      <c r="BF93" s="488"/>
      <c r="BG93" s="488"/>
      <c r="BH93" s="488"/>
      <c r="BI93" s="488"/>
      <c r="BJ93" s="488"/>
      <c r="BK93" s="488"/>
      <c r="BL93" s="488"/>
      <c r="BM93" s="488"/>
      <c r="BN93" s="488"/>
      <c r="BO93" s="488"/>
      <c r="BP93" s="488"/>
    </row>
    <row r="94" spans="1:68" ht="15.75" thickBot="1" x14ac:dyDescent="0.3">
      <c r="B94" s="747" t="s">
        <v>158</v>
      </c>
      <c r="C94" s="748"/>
      <c r="D94" s="554"/>
      <c r="E94" s="555">
        <f>E92*E93</f>
        <v>87.5</v>
      </c>
      <c r="F94" s="555">
        <f>F92*F93</f>
        <v>67.59375</v>
      </c>
      <c r="G94" s="555">
        <f>G92*G93</f>
        <v>59.178328124999993</v>
      </c>
      <c r="H94" s="555">
        <f t="shared" ref="H94:AC94" si="31">H92*H93</f>
        <v>60.953677968749993</v>
      </c>
      <c r="I94" s="555">
        <f t="shared" si="31"/>
        <v>62.782288307812493</v>
      </c>
      <c r="J94" s="555">
        <f t="shared" si="31"/>
        <v>64.665756957046867</v>
      </c>
      <c r="K94" s="555">
        <f t="shared" si="31"/>
        <v>66.605729665758275</v>
      </c>
      <c r="L94" s="555">
        <f t="shared" si="31"/>
        <v>68.603901555731028</v>
      </c>
      <c r="M94" s="555">
        <f t="shared" si="31"/>
        <v>70.662018602402952</v>
      </c>
      <c r="N94" s="555">
        <f t="shared" si="31"/>
        <v>72.781879160475043</v>
      </c>
      <c r="O94" s="555">
        <f t="shared" si="31"/>
        <v>74.965335535289299</v>
      </c>
      <c r="P94" s="555">
        <f t="shared" si="31"/>
        <v>77.214295601347999</v>
      </c>
      <c r="Q94" s="555">
        <f t="shared" si="31"/>
        <v>79.530724469388431</v>
      </c>
      <c r="R94" s="555">
        <f t="shared" si="31"/>
        <v>81.91664620347008</v>
      </c>
      <c r="S94" s="555">
        <f t="shared" si="31"/>
        <v>84.374145589574184</v>
      </c>
      <c r="T94" s="555">
        <f t="shared" si="31"/>
        <v>86.905369957261414</v>
      </c>
      <c r="U94" s="555">
        <f t="shared" si="31"/>
        <v>89.512531055979252</v>
      </c>
      <c r="V94" s="555">
        <f t="shared" si="31"/>
        <v>92.197906987658627</v>
      </c>
      <c r="W94" s="555">
        <f t="shared" si="31"/>
        <v>94.963844197288381</v>
      </c>
      <c r="X94" s="555">
        <f t="shared" si="31"/>
        <v>97.812759523207035</v>
      </c>
      <c r="Y94" s="555">
        <f t="shared" si="31"/>
        <v>100.74714230890325</v>
      </c>
      <c r="Z94" s="555">
        <f t="shared" si="31"/>
        <v>103.76955657817034</v>
      </c>
      <c r="AA94" s="555">
        <f t="shared" si="31"/>
        <v>106.88264327551545</v>
      </c>
      <c r="AB94" s="555">
        <f t="shared" si="31"/>
        <v>110.08912257378093</v>
      </c>
      <c r="AC94" s="556">
        <f t="shared" si="31"/>
        <v>113.39179625099436</v>
      </c>
      <c r="AD94" s="505" t="s">
        <v>229</v>
      </c>
      <c r="AE94" s="315">
        <v>2</v>
      </c>
      <c r="AF94" s="557">
        <f t="shared" si="29"/>
        <v>1.5</v>
      </c>
      <c r="AG94" s="557">
        <f t="shared" ref="AG94" si="32">AF94*(1-AG$87)</f>
        <v>1.2749999999999999</v>
      </c>
      <c r="AH94" s="505"/>
      <c r="AI94" s="505"/>
      <c r="AJ94" s="505"/>
      <c r="AK94" s="505"/>
      <c r="AL94" s="505"/>
      <c r="AM94" s="505"/>
      <c r="AN94" s="505"/>
      <c r="AO94" s="505"/>
      <c r="AP94" s="505"/>
      <c r="AQ94" s="505"/>
      <c r="AR94" s="505"/>
      <c r="AS94" s="505"/>
      <c r="AT94" s="505"/>
      <c r="AU94" s="505"/>
      <c r="AV94" s="505"/>
      <c r="AW94" s="505"/>
      <c r="AX94" s="505"/>
      <c r="AY94" s="458"/>
      <c r="AZ94" s="458"/>
      <c r="BA94" s="458"/>
      <c r="BB94" s="458"/>
      <c r="BC94" s="488"/>
      <c r="BD94" s="488"/>
      <c r="BE94" s="488"/>
      <c r="BF94" s="488"/>
      <c r="BG94" s="488"/>
      <c r="BH94" s="488"/>
      <c r="BI94" s="488"/>
      <c r="BJ94" s="488"/>
      <c r="BK94" s="488"/>
      <c r="BL94" s="488"/>
      <c r="BM94" s="488"/>
      <c r="BN94" s="488"/>
      <c r="BO94" s="488"/>
      <c r="BP94" s="488"/>
    </row>
    <row r="95" spans="1:68" s="491" customFormat="1" ht="16.5" thickTop="1" thickBot="1" x14ac:dyDescent="0.3">
      <c r="B95" s="767" t="s">
        <v>159</v>
      </c>
      <c r="C95" s="768"/>
      <c r="D95" s="558"/>
      <c r="E95" s="559">
        <f>(E87*E94)+E90</f>
        <v>10237.5</v>
      </c>
      <c r="F95" s="560">
        <f t="shared" ref="F95:AC95" si="33">(F87*F94)+F90</f>
        <v>157.5</v>
      </c>
      <c r="G95" s="560">
        <f t="shared" si="33"/>
        <v>157.5</v>
      </c>
      <c r="H95" s="560">
        <f t="shared" si="33"/>
        <v>157.5</v>
      </c>
      <c r="I95" s="560">
        <f t="shared" si="33"/>
        <v>157.5</v>
      </c>
      <c r="J95" s="560">
        <f t="shared" si="33"/>
        <v>157.5</v>
      </c>
      <c r="K95" s="560">
        <f t="shared" si="33"/>
        <v>157.5</v>
      </c>
      <c r="L95" s="560">
        <f t="shared" si="33"/>
        <v>157.5</v>
      </c>
      <c r="M95" s="560">
        <f t="shared" si="33"/>
        <v>157.5</v>
      </c>
      <c r="N95" s="560">
        <f t="shared" si="33"/>
        <v>157.5</v>
      </c>
      <c r="O95" s="560">
        <f t="shared" si="33"/>
        <v>157.5</v>
      </c>
      <c r="P95" s="560">
        <f t="shared" si="33"/>
        <v>157.5</v>
      </c>
      <c r="Q95" s="560">
        <f t="shared" si="33"/>
        <v>157.5</v>
      </c>
      <c r="R95" s="560">
        <f t="shared" si="33"/>
        <v>157.5</v>
      </c>
      <c r="S95" s="560">
        <f t="shared" si="33"/>
        <v>157.5</v>
      </c>
      <c r="T95" s="560">
        <f t="shared" si="33"/>
        <v>157.5</v>
      </c>
      <c r="U95" s="560">
        <f t="shared" si="33"/>
        <v>157.5</v>
      </c>
      <c r="V95" s="560">
        <f t="shared" si="33"/>
        <v>157.5</v>
      </c>
      <c r="W95" s="560">
        <f t="shared" si="33"/>
        <v>157.5</v>
      </c>
      <c r="X95" s="560">
        <f t="shared" si="33"/>
        <v>157.5</v>
      </c>
      <c r="Y95" s="560">
        <f t="shared" si="33"/>
        <v>157.5</v>
      </c>
      <c r="Z95" s="560">
        <f t="shared" si="33"/>
        <v>157.5</v>
      </c>
      <c r="AA95" s="560">
        <f t="shared" si="33"/>
        <v>157.5</v>
      </c>
      <c r="AB95" s="560">
        <f t="shared" si="33"/>
        <v>157.5</v>
      </c>
      <c r="AC95" s="561">
        <f t="shared" si="33"/>
        <v>157.5</v>
      </c>
      <c r="AD95" s="562"/>
      <c r="AE95" s="515"/>
      <c r="AF95" s="515"/>
      <c r="AG95" s="562"/>
      <c r="AH95" s="562"/>
      <c r="AI95" s="562"/>
      <c r="AJ95" s="562"/>
      <c r="AK95" s="562"/>
      <c r="AL95" s="562"/>
      <c r="AM95" s="562"/>
      <c r="AN95" s="562"/>
      <c r="AO95" s="562"/>
      <c r="AP95" s="562"/>
      <c r="AQ95" s="562"/>
      <c r="AR95" s="562"/>
      <c r="AS95" s="562"/>
      <c r="AT95" s="562"/>
      <c r="AU95" s="562"/>
      <c r="AV95" s="562"/>
      <c r="AW95" s="562"/>
      <c r="AX95" s="562"/>
      <c r="AY95" s="531"/>
      <c r="AZ95" s="531"/>
      <c r="BA95" s="531"/>
      <c r="BB95" s="531"/>
      <c r="BC95" s="532"/>
      <c r="BD95" s="532"/>
      <c r="BE95" s="532"/>
      <c r="BF95" s="532"/>
      <c r="BG95" s="532"/>
      <c r="BH95" s="532"/>
      <c r="BI95" s="532"/>
      <c r="BJ95" s="532"/>
      <c r="BK95" s="532"/>
      <c r="BL95" s="532"/>
      <c r="BM95" s="532"/>
      <c r="BN95" s="532"/>
      <c r="BO95" s="532"/>
      <c r="BP95" s="532"/>
    </row>
    <row r="96" spans="1:68" ht="15.75" thickBot="1" x14ac:dyDescent="0.3">
      <c r="B96" s="766"/>
      <c r="C96" s="766"/>
      <c r="D96" s="377"/>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52"/>
      <c r="AE96" s="538" t="s">
        <v>237</v>
      </c>
      <c r="AF96" s="563"/>
      <c r="AG96" s="452"/>
      <c r="AH96" s="452"/>
      <c r="AI96" s="452"/>
      <c r="AJ96" s="452"/>
      <c r="AK96" s="452"/>
      <c r="AL96" s="505"/>
      <c r="AM96" s="505"/>
      <c r="AN96" s="505"/>
      <c r="AO96" s="505"/>
      <c r="AP96" s="505"/>
      <c r="AQ96" s="505"/>
      <c r="AR96" s="505"/>
      <c r="AS96" s="505"/>
      <c r="AT96" s="505"/>
      <c r="AU96" s="505"/>
      <c r="AV96" s="505"/>
      <c r="AW96" s="505"/>
      <c r="AX96" s="505"/>
      <c r="AY96" s="458"/>
      <c r="AZ96" s="458"/>
      <c r="BA96" s="458"/>
      <c r="BB96" s="458"/>
      <c r="BC96" s="488"/>
      <c r="BD96" s="488"/>
      <c r="BE96" s="488"/>
      <c r="BF96" s="488"/>
      <c r="BG96" s="488"/>
      <c r="BH96" s="488"/>
      <c r="BI96" s="488"/>
      <c r="BJ96" s="488"/>
      <c r="BK96" s="488"/>
      <c r="BL96" s="488"/>
      <c r="BM96" s="488"/>
      <c r="BN96" s="488"/>
      <c r="BO96" s="488"/>
      <c r="BP96" s="488"/>
    </row>
    <row r="97" spans="2:68" x14ac:dyDescent="0.25">
      <c r="B97" s="757" t="s">
        <v>125</v>
      </c>
      <c r="C97" s="758"/>
      <c r="D97" s="533"/>
      <c r="E97" s="518">
        <v>1</v>
      </c>
      <c r="F97" s="518">
        <f t="shared" ref="F97:AC97" si="34">E97+1</f>
        <v>2</v>
      </c>
      <c r="G97" s="518">
        <f t="shared" si="34"/>
        <v>3</v>
      </c>
      <c r="H97" s="518">
        <f t="shared" si="34"/>
        <v>4</v>
      </c>
      <c r="I97" s="518">
        <f t="shared" si="34"/>
        <v>5</v>
      </c>
      <c r="J97" s="518">
        <f t="shared" si="34"/>
        <v>6</v>
      </c>
      <c r="K97" s="518">
        <f t="shared" si="34"/>
        <v>7</v>
      </c>
      <c r="L97" s="518">
        <f t="shared" si="34"/>
        <v>8</v>
      </c>
      <c r="M97" s="518">
        <f t="shared" si="34"/>
        <v>9</v>
      </c>
      <c r="N97" s="518">
        <f t="shared" si="34"/>
        <v>10</v>
      </c>
      <c r="O97" s="518">
        <f t="shared" si="34"/>
        <v>11</v>
      </c>
      <c r="P97" s="518">
        <f t="shared" si="34"/>
        <v>12</v>
      </c>
      <c r="Q97" s="518">
        <f t="shared" si="34"/>
        <v>13</v>
      </c>
      <c r="R97" s="518">
        <f t="shared" si="34"/>
        <v>14</v>
      </c>
      <c r="S97" s="518">
        <f t="shared" si="34"/>
        <v>15</v>
      </c>
      <c r="T97" s="518">
        <f t="shared" si="34"/>
        <v>16</v>
      </c>
      <c r="U97" s="518">
        <f t="shared" si="34"/>
        <v>17</v>
      </c>
      <c r="V97" s="518">
        <f t="shared" si="34"/>
        <v>18</v>
      </c>
      <c r="W97" s="518">
        <f t="shared" si="34"/>
        <v>19</v>
      </c>
      <c r="X97" s="518">
        <f t="shared" si="34"/>
        <v>20</v>
      </c>
      <c r="Y97" s="518">
        <f t="shared" si="34"/>
        <v>21</v>
      </c>
      <c r="Z97" s="518">
        <f t="shared" si="34"/>
        <v>22</v>
      </c>
      <c r="AA97" s="518">
        <f t="shared" si="34"/>
        <v>23</v>
      </c>
      <c r="AB97" s="518">
        <f t="shared" si="34"/>
        <v>24</v>
      </c>
      <c r="AC97" s="520">
        <f t="shared" si="34"/>
        <v>25</v>
      </c>
      <c r="AD97" s="505"/>
      <c r="AE97" s="714" t="s">
        <v>225</v>
      </c>
      <c r="AF97" s="715"/>
      <c r="AG97" s="712" t="s">
        <v>226</v>
      </c>
      <c r="AH97" s="713"/>
      <c r="AI97" s="712" t="s">
        <v>235</v>
      </c>
      <c r="AJ97" s="713"/>
      <c r="AK97" s="505"/>
      <c r="AL97" s="505"/>
      <c r="AM97" s="505"/>
      <c r="AN97" s="505"/>
      <c r="AO97" s="505"/>
      <c r="AP97" s="505"/>
      <c r="AQ97" s="505"/>
      <c r="AR97" s="505"/>
      <c r="AS97" s="505"/>
      <c r="AT97" s="505"/>
      <c r="AU97" s="505"/>
      <c r="AV97" s="505"/>
      <c r="AW97" s="505"/>
      <c r="AX97" s="505"/>
      <c r="AY97" s="458"/>
      <c r="AZ97" s="458"/>
      <c r="BA97" s="458"/>
      <c r="BB97" s="458"/>
      <c r="BC97" s="488"/>
      <c r="BD97" s="488"/>
      <c r="BE97" s="488"/>
      <c r="BF97" s="488"/>
      <c r="BG97" s="488"/>
      <c r="BH97" s="488"/>
      <c r="BI97" s="488"/>
      <c r="BJ97" s="488"/>
      <c r="BK97" s="488"/>
      <c r="BL97" s="488"/>
      <c r="BM97" s="488"/>
      <c r="BN97" s="488"/>
      <c r="BO97" s="488"/>
      <c r="BP97" s="488"/>
    </row>
    <row r="98" spans="2:68" x14ac:dyDescent="0.25">
      <c r="B98" s="759" t="s">
        <v>160</v>
      </c>
      <c r="C98" s="760"/>
      <c r="D98" s="534"/>
      <c r="E98" s="550">
        <f>IF('Key_Assumptions_&amp;_Inputs'!$J$72="Easy",$AF$99,IF('Key_Assumptions_&amp;_Inputs'!$J$72="Moderate",$AF$100,IF('Key_Assumptions_&amp;_Inputs'!$J$72="Difficult",$AF$101)))</f>
        <v>0.29166666666666669</v>
      </c>
      <c r="F98" s="550">
        <f>IF('Key_Assumptions_&amp;_Inputs'!$J$72="Easy",$AH$99,IF('Key_Assumptions_&amp;_Inputs'!$J$72="Moderate",$AH$100,IF('Key_Assumptions_&amp;_Inputs'!$J$72="Difficult",$AH$101)))</f>
        <v>0.21875</v>
      </c>
      <c r="G98" s="550">
        <f>IF('Key_Assumptions_&amp;_Inputs'!$J$72="Easy",$AJ$99,IF('Key_Assumptions_&amp;_Inputs'!$J$72="Moderate",$AJ$100,IF('Key_Assumptions_&amp;_Inputs'!$J$72="Difficult",$AJ$101)))</f>
        <v>0.18593750000000001</v>
      </c>
      <c r="H98" s="550">
        <f>IF('Key_Assumptions_&amp;_Inputs'!$J$72="Easy",$AJ$99,IF('Key_Assumptions_&amp;_Inputs'!$J$72="Moderate",$AJ$100,IF('Key_Assumptions_&amp;_Inputs'!$J$72="Difficult",$AJ$101)))</f>
        <v>0.18593750000000001</v>
      </c>
      <c r="I98" s="550">
        <f>IF('Key_Assumptions_&amp;_Inputs'!$J$72="Easy",$AJ$99,IF('Key_Assumptions_&amp;_Inputs'!$J$72="Moderate",$AJ$100,IF('Key_Assumptions_&amp;_Inputs'!$J$72="Difficult",$AJ$101)))</f>
        <v>0.18593750000000001</v>
      </c>
      <c r="J98" s="550">
        <f>IF('Key_Assumptions_&amp;_Inputs'!$J$72="Easy",$AJ$99,IF('Key_Assumptions_&amp;_Inputs'!$J$72="Moderate",$AJ$100,IF('Key_Assumptions_&amp;_Inputs'!$J$72="Difficult",$AJ$101)))</f>
        <v>0.18593750000000001</v>
      </c>
      <c r="K98" s="550">
        <f>IF('Key_Assumptions_&amp;_Inputs'!$J$72="Easy",$AJ$99,IF('Key_Assumptions_&amp;_Inputs'!$J$72="Moderate",$AJ$100,IF('Key_Assumptions_&amp;_Inputs'!$J$72="Difficult",$AJ$101)))</f>
        <v>0.18593750000000001</v>
      </c>
      <c r="L98" s="550">
        <f>IF('Key_Assumptions_&amp;_Inputs'!$J$72="Easy",$AJ$99,IF('Key_Assumptions_&amp;_Inputs'!$J$72="Moderate",$AJ$100,IF('Key_Assumptions_&amp;_Inputs'!$J$72="Difficult",$AJ$101)))</f>
        <v>0.18593750000000001</v>
      </c>
      <c r="M98" s="550">
        <f>IF('Key_Assumptions_&amp;_Inputs'!$J$72="Easy",$AJ$99,IF('Key_Assumptions_&amp;_Inputs'!$J$72="Moderate",$AJ$100,IF('Key_Assumptions_&amp;_Inputs'!$J$72="Difficult",$AJ$101)))</f>
        <v>0.18593750000000001</v>
      </c>
      <c r="N98" s="550">
        <f>IF('Key_Assumptions_&amp;_Inputs'!$J$72="Easy",$AJ$99,IF('Key_Assumptions_&amp;_Inputs'!$J$72="Moderate",$AJ$100,IF('Key_Assumptions_&amp;_Inputs'!$J$72="Difficult",$AJ$101)))</f>
        <v>0.18593750000000001</v>
      </c>
      <c r="O98" s="550">
        <f>IF('Key_Assumptions_&amp;_Inputs'!$J$72="Easy",$AJ$99,IF('Key_Assumptions_&amp;_Inputs'!$J$72="Moderate",$AJ$100,IF('Key_Assumptions_&amp;_Inputs'!$J$72="Difficult",$AJ$101)))</f>
        <v>0.18593750000000001</v>
      </c>
      <c r="P98" s="550">
        <f>IF('Key_Assumptions_&amp;_Inputs'!$J$72="Easy",$AJ$99,IF('Key_Assumptions_&amp;_Inputs'!$J$72="Moderate",$AJ$100,IF('Key_Assumptions_&amp;_Inputs'!$J$72="Difficult",$AJ$101)))</f>
        <v>0.18593750000000001</v>
      </c>
      <c r="Q98" s="550">
        <f>IF('Key_Assumptions_&amp;_Inputs'!$J$72="Easy",$AJ$99,IF('Key_Assumptions_&amp;_Inputs'!$J$72="Moderate",$AJ$100,IF('Key_Assumptions_&amp;_Inputs'!$J$72="Difficult",$AJ$101)))</f>
        <v>0.18593750000000001</v>
      </c>
      <c r="R98" s="550">
        <f>IF('Key_Assumptions_&amp;_Inputs'!$J$72="Easy",$AJ$99,IF('Key_Assumptions_&amp;_Inputs'!$J$72="Moderate",$AJ$100,IF('Key_Assumptions_&amp;_Inputs'!$J$72="Difficult",$AJ$101)))</f>
        <v>0.18593750000000001</v>
      </c>
      <c r="S98" s="550">
        <f>IF('Key_Assumptions_&amp;_Inputs'!$J$72="Easy",$AJ$99,IF('Key_Assumptions_&amp;_Inputs'!$J$72="Moderate",$AJ$100,IF('Key_Assumptions_&amp;_Inputs'!$J$72="Difficult",$AJ$101)))</f>
        <v>0.18593750000000001</v>
      </c>
      <c r="T98" s="550">
        <f>IF('Key_Assumptions_&amp;_Inputs'!$J$72="Easy",$AJ$99,IF('Key_Assumptions_&amp;_Inputs'!$J$72="Moderate",$AJ$100,IF('Key_Assumptions_&amp;_Inputs'!$J$72="Difficult",$AJ$101)))</f>
        <v>0.18593750000000001</v>
      </c>
      <c r="U98" s="550">
        <f>IF('Key_Assumptions_&amp;_Inputs'!$J$72="Easy",$AJ$99,IF('Key_Assumptions_&amp;_Inputs'!$J$72="Moderate",$AJ$100,IF('Key_Assumptions_&amp;_Inputs'!$J$72="Difficult",$AJ$101)))</f>
        <v>0.18593750000000001</v>
      </c>
      <c r="V98" s="550">
        <f>IF('Key_Assumptions_&amp;_Inputs'!$J$72="Easy",$AJ$99,IF('Key_Assumptions_&amp;_Inputs'!$J$72="Moderate",$AJ$100,IF('Key_Assumptions_&amp;_Inputs'!$J$72="Difficult",$AJ$101)))</f>
        <v>0.18593750000000001</v>
      </c>
      <c r="W98" s="550">
        <f>IF('Key_Assumptions_&amp;_Inputs'!$J$72="Easy",$AJ$99,IF('Key_Assumptions_&amp;_Inputs'!$J$72="Moderate",$AJ$100,IF('Key_Assumptions_&amp;_Inputs'!$J$72="Difficult",$AJ$101)))</f>
        <v>0.18593750000000001</v>
      </c>
      <c r="X98" s="550">
        <f>IF('Key_Assumptions_&amp;_Inputs'!$J$72="Easy",$AJ$99,IF('Key_Assumptions_&amp;_Inputs'!$J$72="Moderate",$AJ$100,IF('Key_Assumptions_&amp;_Inputs'!$J$72="Difficult",$AJ$101)))</f>
        <v>0.18593750000000001</v>
      </c>
      <c r="Y98" s="550">
        <f>IF('Key_Assumptions_&amp;_Inputs'!$J$72="Easy",$AJ$99,IF('Key_Assumptions_&amp;_Inputs'!$J$72="Moderate",$AJ$100,IF('Key_Assumptions_&amp;_Inputs'!$J$72="Difficult",$AJ$101)))</f>
        <v>0.18593750000000001</v>
      </c>
      <c r="Z98" s="550">
        <f>IF('Key_Assumptions_&amp;_Inputs'!$J$72="Easy",$AJ$99,IF('Key_Assumptions_&amp;_Inputs'!$J$72="Moderate",$AJ$100,IF('Key_Assumptions_&amp;_Inputs'!$J$72="Difficult",$AJ$101)))</f>
        <v>0.18593750000000001</v>
      </c>
      <c r="AA98" s="550">
        <f>IF('Key_Assumptions_&amp;_Inputs'!$J$72="Easy",$AJ$99,IF('Key_Assumptions_&amp;_Inputs'!$J$72="Moderate",$AJ$100,IF('Key_Assumptions_&amp;_Inputs'!$J$72="Difficult",$AJ$101)))</f>
        <v>0.18593750000000001</v>
      </c>
      <c r="AB98" s="550">
        <f>IF('Key_Assumptions_&amp;_Inputs'!$J$72="Easy",$AJ$99,IF('Key_Assumptions_&amp;_Inputs'!$J$72="Moderate",$AJ$100,IF('Key_Assumptions_&amp;_Inputs'!$J$72="Difficult",$AJ$101)))</f>
        <v>0.18593750000000001</v>
      </c>
      <c r="AC98" s="551">
        <f>IF('Key_Assumptions_&amp;_Inputs'!$J$72="Easy",$AJ$99,IF('Key_Assumptions_&amp;_Inputs'!$J$72="Moderate",$AJ$100,IF('Key_Assumptions_&amp;_Inputs'!$J$72="Difficult",$AJ$101)))</f>
        <v>0.18593750000000001</v>
      </c>
      <c r="AD98" s="505"/>
      <c r="AE98" s="564" t="s">
        <v>223</v>
      </c>
      <c r="AF98" s="565" t="s">
        <v>224</v>
      </c>
      <c r="AG98" s="564" t="s">
        <v>223</v>
      </c>
      <c r="AH98" s="565" t="s">
        <v>224</v>
      </c>
      <c r="AI98" s="564" t="s">
        <v>223</v>
      </c>
      <c r="AJ98" s="565" t="s">
        <v>224</v>
      </c>
      <c r="AK98" s="505"/>
      <c r="AL98" s="505"/>
      <c r="AM98" s="505"/>
      <c r="AN98" s="505"/>
      <c r="AO98" s="505"/>
      <c r="AP98" s="505"/>
      <c r="AQ98" s="505"/>
      <c r="AR98" s="505"/>
      <c r="AS98" s="505"/>
      <c r="AT98" s="505"/>
      <c r="AU98" s="505"/>
      <c r="AV98" s="505"/>
      <c r="AW98" s="505"/>
      <c r="AX98" s="505"/>
      <c r="AY98" s="458"/>
      <c r="AZ98" s="458"/>
      <c r="BA98" s="458"/>
      <c r="BB98" s="458"/>
      <c r="BC98" s="488"/>
      <c r="BD98" s="488"/>
      <c r="BE98" s="488"/>
      <c r="BF98" s="488"/>
      <c r="BG98" s="488"/>
      <c r="BH98" s="488"/>
      <c r="BI98" s="488"/>
      <c r="BJ98" s="488"/>
      <c r="BK98" s="488"/>
      <c r="BL98" s="488"/>
      <c r="BM98" s="488"/>
      <c r="BN98" s="488"/>
      <c r="BO98" s="488"/>
      <c r="BP98" s="488"/>
    </row>
    <row r="99" spans="2:68" x14ac:dyDescent="0.25">
      <c r="B99" s="759" t="s">
        <v>132</v>
      </c>
      <c r="C99" s="760"/>
      <c r="D99" s="534"/>
      <c r="E99" s="484">
        <f>$D$13</f>
        <v>50</v>
      </c>
      <c r="F99" s="485">
        <f>E99*(1+$D$14)</f>
        <v>51.5</v>
      </c>
      <c r="G99" s="485">
        <f t="shared" ref="G99:AC99" si="35">F99*(1+$D$14)</f>
        <v>53.045000000000002</v>
      </c>
      <c r="H99" s="485">
        <f t="shared" si="35"/>
        <v>54.63635</v>
      </c>
      <c r="I99" s="485">
        <f t="shared" si="35"/>
        <v>56.275440500000002</v>
      </c>
      <c r="J99" s="485">
        <f t="shared" si="35"/>
        <v>57.963703715000001</v>
      </c>
      <c r="K99" s="485">
        <f t="shared" si="35"/>
        <v>59.702614826450002</v>
      </c>
      <c r="L99" s="485">
        <f t="shared" si="35"/>
        <v>61.493693271243501</v>
      </c>
      <c r="M99" s="485">
        <f t="shared" si="35"/>
        <v>63.338504069380811</v>
      </c>
      <c r="N99" s="485">
        <f t="shared" si="35"/>
        <v>65.238659191462233</v>
      </c>
      <c r="O99" s="485">
        <f t="shared" si="35"/>
        <v>67.195818967206108</v>
      </c>
      <c r="P99" s="485">
        <f t="shared" si="35"/>
        <v>69.211693536222299</v>
      </c>
      <c r="Q99" s="485">
        <f t="shared" si="35"/>
        <v>71.288044342308964</v>
      </c>
      <c r="R99" s="485">
        <f t="shared" si="35"/>
        <v>73.42668567257823</v>
      </c>
      <c r="S99" s="485">
        <f t="shared" si="35"/>
        <v>75.629486242755576</v>
      </c>
      <c r="T99" s="485">
        <f t="shared" si="35"/>
        <v>77.898370830038246</v>
      </c>
      <c r="U99" s="485">
        <f t="shared" si="35"/>
        <v>80.235321954939394</v>
      </c>
      <c r="V99" s="485">
        <f t="shared" si="35"/>
        <v>82.642381613587574</v>
      </c>
      <c r="W99" s="485">
        <f t="shared" si="35"/>
        <v>85.121653061995204</v>
      </c>
      <c r="X99" s="485">
        <f t="shared" si="35"/>
        <v>87.675302653855056</v>
      </c>
      <c r="Y99" s="485">
        <f t="shared" si="35"/>
        <v>90.305561733470711</v>
      </c>
      <c r="Z99" s="485">
        <f t="shared" si="35"/>
        <v>93.014728585474828</v>
      </c>
      <c r="AA99" s="485">
        <f t="shared" si="35"/>
        <v>95.805170443039074</v>
      </c>
      <c r="AB99" s="485">
        <f t="shared" si="35"/>
        <v>98.679325556330255</v>
      </c>
      <c r="AC99" s="553">
        <f t="shared" si="35"/>
        <v>101.63970532302017</v>
      </c>
      <c r="AD99" s="505" t="s">
        <v>217</v>
      </c>
      <c r="AE99" s="316">
        <v>15</v>
      </c>
      <c r="AF99" s="566">
        <f>AE99/60</f>
        <v>0.25</v>
      </c>
      <c r="AG99" s="567">
        <f>AE99*(1-$AF$87)</f>
        <v>11.25</v>
      </c>
      <c r="AH99" s="566">
        <f>AG99/60</f>
        <v>0.1875</v>
      </c>
      <c r="AI99" s="567">
        <f>AG99*(1-$AG$87)</f>
        <v>9.5625</v>
      </c>
      <c r="AJ99" s="566">
        <f>AI99/60</f>
        <v>0.15937499999999999</v>
      </c>
      <c r="AK99" s="505"/>
      <c r="AL99" s="505"/>
      <c r="AM99" s="505"/>
      <c r="AN99" s="505"/>
      <c r="AO99" s="505"/>
      <c r="AP99" s="505"/>
      <c r="AQ99" s="505"/>
      <c r="AR99" s="505"/>
      <c r="AS99" s="505"/>
      <c r="AT99" s="505"/>
      <c r="AU99" s="505"/>
      <c r="AV99" s="505"/>
      <c r="AW99" s="505"/>
      <c r="AX99" s="505"/>
      <c r="AY99" s="458"/>
      <c r="AZ99" s="458"/>
      <c r="BA99" s="458"/>
      <c r="BB99" s="458"/>
      <c r="BC99" s="488"/>
      <c r="BD99" s="488"/>
      <c r="BE99" s="488"/>
      <c r="BF99" s="488"/>
      <c r="BG99" s="488"/>
      <c r="BH99" s="488"/>
      <c r="BI99" s="488"/>
      <c r="BJ99" s="488"/>
      <c r="BK99" s="488"/>
      <c r="BL99" s="488"/>
      <c r="BM99" s="488"/>
      <c r="BN99" s="488"/>
      <c r="BO99" s="488"/>
      <c r="BP99" s="488"/>
    </row>
    <row r="100" spans="2:68" ht="15.75" thickBot="1" x14ac:dyDescent="0.3">
      <c r="B100" s="747" t="s">
        <v>161</v>
      </c>
      <c r="C100" s="748"/>
      <c r="D100" s="554"/>
      <c r="E100" s="555">
        <f>E98*E99</f>
        <v>14.583333333333334</v>
      </c>
      <c r="F100" s="555">
        <f t="shared" ref="F100:G100" si="36">F98*F99</f>
        <v>11.265625</v>
      </c>
      <c r="G100" s="555">
        <f t="shared" si="36"/>
        <v>9.8630546875</v>
      </c>
      <c r="H100" s="555">
        <f t="shared" ref="H100" si="37">H98*H99</f>
        <v>10.158946328125001</v>
      </c>
      <c r="I100" s="555">
        <f t="shared" ref="I100" si="38">I98*I99</f>
        <v>10.463714717968751</v>
      </c>
      <c r="J100" s="555">
        <f t="shared" ref="J100" si="39">J98*J99</f>
        <v>10.777626159507813</v>
      </c>
      <c r="K100" s="555">
        <f t="shared" ref="K100" si="40">K98*K99</f>
        <v>11.100954944293047</v>
      </c>
      <c r="L100" s="555">
        <f t="shared" ref="L100" si="41">L98*L99</f>
        <v>11.433983592621839</v>
      </c>
      <c r="M100" s="555">
        <f t="shared" ref="M100" si="42">M98*M99</f>
        <v>11.777003100400496</v>
      </c>
      <c r="N100" s="555">
        <f t="shared" ref="N100" si="43">N98*N99</f>
        <v>12.13031319341251</v>
      </c>
      <c r="O100" s="555">
        <f t="shared" ref="O100" si="44">O98*O99</f>
        <v>12.494222589214885</v>
      </c>
      <c r="P100" s="555">
        <f t="shared" ref="P100" si="45">P98*P99</f>
        <v>12.869049266891334</v>
      </c>
      <c r="Q100" s="555">
        <f t="shared" ref="Q100" si="46">Q98*Q99</f>
        <v>13.255120744898074</v>
      </c>
      <c r="R100" s="555">
        <f t="shared" ref="R100" si="47">R98*R99</f>
        <v>13.652774367245016</v>
      </c>
      <c r="S100" s="555">
        <f t="shared" ref="S100" si="48">S98*S99</f>
        <v>14.062357598262365</v>
      </c>
      <c r="T100" s="555">
        <f t="shared" ref="T100" si="49">T98*T99</f>
        <v>14.484228326210237</v>
      </c>
      <c r="U100" s="555">
        <f t="shared" ref="U100" si="50">U98*U99</f>
        <v>14.918755175996544</v>
      </c>
      <c r="V100" s="555">
        <f t="shared" ref="V100" si="51">V98*V99</f>
        <v>15.36631783127644</v>
      </c>
      <c r="W100" s="555">
        <f t="shared" ref="W100" si="52">W98*W99</f>
        <v>15.827307366214734</v>
      </c>
      <c r="X100" s="555">
        <f t="shared" ref="X100" si="53">X98*X99</f>
        <v>16.302126587201176</v>
      </c>
      <c r="Y100" s="555">
        <f t="shared" ref="Y100" si="54">Y98*Y99</f>
        <v>16.791190384817209</v>
      </c>
      <c r="Z100" s="555">
        <f t="shared" ref="Z100" si="55">Z98*Z99</f>
        <v>17.294926096361728</v>
      </c>
      <c r="AA100" s="555">
        <f t="shared" ref="AA100" si="56">AA98*AA99</f>
        <v>17.813773879252579</v>
      </c>
      <c r="AB100" s="555">
        <f t="shared" ref="AB100" si="57">AB98*AB99</f>
        <v>18.348187095630156</v>
      </c>
      <c r="AC100" s="556">
        <f t="shared" ref="AC100" si="58">AC98*AC99</f>
        <v>18.898632708499061</v>
      </c>
      <c r="AD100" s="505" t="s">
        <v>221</v>
      </c>
      <c r="AE100" s="316">
        <v>17.5</v>
      </c>
      <c r="AF100" s="566">
        <f>AE100/60</f>
        <v>0.29166666666666669</v>
      </c>
      <c r="AG100" s="567">
        <f t="shared" ref="AG100:AG101" si="59">AE100*(1-$AF$87)</f>
        <v>13.125</v>
      </c>
      <c r="AH100" s="566">
        <f>AG100/60</f>
        <v>0.21875</v>
      </c>
      <c r="AI100" s="567">
        <f t="shared" ref="AI100:AI101" si="60">AG100*(1-$AG$87)</f>
        <v>11.15625</v>
      </c>
      <c r="AJ100" s="566">
        <f>AI100/60</f>
        <v>0.18593750000000001</v>
      </c>
      <c r="AK100" s="505"/>
      <c r="AL100" s="505"/>
      <c r="AM100" s="505"/>
      <c r="AN100" s="505"/>
      <c r="AO100" s="505"/>
      <c r="AP100" s="505"/>
      <c r="AQ100" s="505"/>
      <c r="AR100" s="505"/>
      <c r="AS100" s="505"/>
      <c r="AT100" s="505"/>
      <c r="AU100" s="505"/>
      <c r="AV100" s="505"/>
      <c r="AW100" s="505"/>
      <c r="AX100" s="505"/>
      <c r="AY100" s="458"/>
      <c r="AZ100" s="458"/>
      <c r="BA100" s="458"/>
      <c r="BB100" s="458"/>
      <c r="BC100" s="488"/>
      <c r="BD100" s="488"/>
      <c r="BE100" s="488"/>
      <c r="BF100" s="488"/>
      <c r="BG100" s="488"/>
      <c r="BH100" s="488"/>
      <c r="BI100" s="488"/>
      <c r="BJ100" s="488"/>
      <c r="BK100" s="488"/>
      <c r="BL100" s="488"/>
      <c r="BM100" s="488"/>
      <c r="BN100" s="488"/>
      <c r="BO100" s="488"/>
      <c r="BP100" s="488"/>
    </row>
    <row r="101" spans="2:68" ht="16.5" thickTop="1" thickBot="1" x14ac:dyDescent="0.3">
      <c r="B101" s="767" t="s">
        <v>159</v>
      </c>
      <c r="C101" s="768"/>
      <c r="D101" s="541"/>
      <c r="E101" s="560">
        <f>E86*E100</f>
        <v>1990.625</v>
      </c>
      <c r="F101" s="560">
        <f t="shared" ref="F101:AC101" si="61">F86*F100</f>
        <v>23.657812500000002</v>
      </c>
      <c r="G101" s="560">
        <f t="shared" si="61"/>
        <v>20.71241484375</v>
      </c>
      <c r="H101" s="560">
        <f t="shared" si="61"/>
        <v>21.333787289062503</v>
      </c>
      <c r="I101" s="560">
        <f t="shared" si="61"/>
        <v>21.973800907734379</v>
      </c>
      <c r="J101" s="560">
        <f t="shared" si="61"/>
        <v>22.633014934966408</v>
      </c>
      <c r="K101" s="560">
        <f t="shared" si="61"/>
        <v>23.3120053830154</v>
      </c>
      <c r="L101" s="560">
        <f t="shared" si="61"/>
        <v>24.011365544505864</v>
      </c>
      <c r="M101" s="560">
        <f t="shared" si="61"/>
        <v>24.731706510841043</v>
      </c>
      <c r="N101" s="560">
        <f t="shared" si="61"/>
        <v>25.473657706166271</v>
      </c>
      <c r="O101" s="560">
        <f t="shared" si="61"/>
        <v>26.237867437351262</v>
      </c>
      <c r="P101" s="560">
        <f t="shared" si="61"/>
        <v>27.025003460471805</v>
      </c>
      <c r="Q101" s="560">
        <f t="shared" si="61"/>
        <v>27.835753564285955</v>
      </c>
      <c r="R101" s="560">
        <f t="shared" si="61"/>
        <v>28.670826171214536</v>
      </c>
      <c r="S101" s="560">
        <f t="shared" si="61"/>
        <v>29.530950956350967</v>
      </c>
      <c r="T101" s="560">
        <f t="shared" si="61"/>
        <v>30.416879485041498</v>
      </c>
      <c r="U101" s="560">
        <f t="shared" si="61"/>
        <v>31.329385869592745</v>
      </c>
      <c r="V101" s="560">
        <f t="shared" si="61"/>
        <v>32.269267445680526</v>
      </c>
      <c r="W101" s="560">
        <f t="shared" si="61"/>
        <v>33.237345469050943</v>
      </c>
      <c r="X101" s="560">
        <f t="shared" si="61"/>
        <v>34.234465833122471</v>
      </c>
      <c r="Y101" s="560">
        <f t="shared" si="61"/>
        <v>35.261499808116142</v>
      </c>
      <c r="Z101" s="560">
        <f t="shared" si="61"/>
        <v>36.31934480235963</v>
      </c>
      <c r="AA101" s="560">
        <f t="shared" si="61"/>
        <v>37.40892514643042</v>
      </c>
      <c r="AB101" s="560">
        <f t="shared" si="61"/>
        <v>38.531192900823328</v>
      </c>
      <c r="AC101" s="561">
        <f t="shared" si="61"/>
        <v>39.68712868784803</v>
      </c>
      <c r="AD101" s="505" t="s">
        <v>229</v>
      </c>
      <c r="AE101" s="317">
        <v>20</v>
      </c>
      <c r="AF101" s="568">
        <f>AE101/60</f>
        <v>0.33333333333333331</v>
      </c>
      <c r="AG101" s="569">
        <f t="shared" si="59"/>
        <v>15</v>
      </c>
      <c r="AH101" s="568">
        <f>AG101/60</f>
        <v>0.25</v>
      </c>
      <c r="AI101" s="569">
        <f t="shared" si="60"/>
        <v>12.75</v>
      </c>
      <c r="AJ101" s="568">
        <f>AI101/60</f>
        <v>0.21249999999999999</v>
      </c>
      <c r="AK101" s="505"/>
      <c r="AL101" s="505"/>
      <c r="AM101" s="505"/>
      <c r="AN101" s="505"/>
      <c r="AO101" s="505"/>
      <c r="AP101" s="505"/>
      <c r="AQ101" s="505"/>
      <c r="AR101" s="505"/>
      <c r="AS101" s="505"/>
      <c r="AT101" s="505"/>
      <c r="AU101" s="505"/>
      <c r="AV101" s="505"/>
      <c r="AW101" s="505"/>
      <c r="AX101" s="505"/>
      <c r="AY101" s="458"/>
      <c r="AZ101" s="458"/>
      <c r="BA101" s="458"/>
      <c r="BB101" s="458"/>
      <c r="BC101" s="488"/>
      <c r="BD101" s="488"/>
      <c r="BE101" s="488"/>
      <c r="BF101" s="488"/>
      <c r="BG101" s="488"/>
      <c r="BH101" s="488"/>
      <c r="BI101" s="488"/>
      <c r="BJ101" s="488"/>
      <c r="BK101" s="488"/>
      <c r="BL101" s="488"/>
      <c r="BM101" s="488"/>
      <c r="BN101" s="488"/>
      <c r="BO101" s="488"/>
      <c r="BP101" s="488"/>
    </row>
    <row r="102" spans="2:68" ht="15.75" thickBot="1" x14ac:dyDescent="0.3">
      <c r="B102" s="570"/>
      <c r="C102" s="570"/>
      <c r="D102" s="378"/>
      <c r="E102" s="571"/>
      <c r="F102" s="571"/>
      <c r="G102" s="571"/>
      <c r="H102" s="571"/>
      <c r="I102" s="571"/>
      <c r="J102" s="571"/>
      <c r="K102" s="571"/>
      <c r="L102" s="571"/>
      <c r="M102" s="571"/>
      <c r="N102" s="571"/>
      <c r="O102" s="571"/>
      <c r="P102" s="571"/>
      <c r="Q102" s="571"/>
      <c r="R102" s="571"/>
      <c r="S102" s="571"/>
      <c r="T102" s="571"/>
      <c r="U102" s="571"/>
      <c r="V102" s="571"/>
      <c r="W102" s="571"/>
      <c r="X102" s="571"/>
      <c r="Y102" s="571"/>
      <c r="Z102" s="571"/>
      <c r="AA102" s="571"/>
      <c r="AB102" s="571"/>
      <c r="AC102" s="571"/>
      <c r="AD102" s="505"/>
      <c r="AE102" s="538" t="s">
        <v>238</v>
      </c>
      <c r="AF102" s="538"/>
      <c r="AG102" s="505"/>
      <c r="AH102" s="505"/>
      <c r="AI102" s="505"/>
      <c r="AJ102" s="505"/>
      <c r="AK102" s="505"/>
      <c r="AL102" s="505"/>
      <c r="AM102" s="505"/>
      <c r="AN102" s="505"/>
      <c r="AO102" s="505"/>
      <c r="AP102" s="505"/>
      <c r="AQ102" s="505"/>
      <c r="AR102" s="505"/>
      <c r="AS102" s="505"/>
      <c r="AT102" s="505"/>
      <c r="AU102" s="505"/>
      <c r="AV102" s="505"/>
      <c r="AW102" s="505"/>
      <c r="AX102" s="505"/>
      <c r="AY102" s="458"/>
      <c r="AZ102" s="458"/>
      <c r="BA102" s="458"/>
      <c r="BB102" s="458"/>
      <c r="BC102" s="488"/>
      <c r="BD102" s="488"/>
      <c r="BE102" s="488"/>
      <c r="BF102" s="488"/>
      <c r="BG102" s="488"/>
      <c r="BH102" s="488"/>
      <c r="BI102" s="488"/>
      <c r="BJ102" s="488"/>
      <c r="BK102" s="488"/>
      <c r="BL102" s="488"/>
      <c r="BM102" s="488"/>
      <c r="BN102" s="488"/>
      <c r="BO102" s="488"/>
      <c r="BP102" s="488"/>
    </row>
    <row r="103" spans="2:68" x14ac:dyDescent="0.25">
      <c r="B103" s="757" t="s">
        <v>130</v>
      </c>
      <c r="C103" s="758"/>
      <c r="D103" s="761"/>
      <c r="E103" s="518">
        <v>1</v>
      </c>
      <c r="F103" s="518">
        <f t="shared" ref="F103:AC103" si="62">E103+1</f>
        <v>2</v>
      </c>
      <c r="G103" s="518">
        <f t="shared" si="62"/>
        <v>3</v>
      </c>
      <c r="H103" s="518">
        <f t="shared" si="62"/>
        <v>4</v>
      </c>
      <c r="I103" s="518">
        <f t="shared" si="62"/>
        <v>5</v>
      </c>
      <c r="J103" s="518">
        <f t="shared" si="62"/>
        <v>6</v>
      </c>
      <c r="K103" s="518">
        <f t="shared" si="62"/>
        <v>7</v>
      </c>
      <c r="L103" s="518">
        <f t="shared" si="62"/>
        <v>8</v>
      </c>
      <c r="M103" s="518">
        <f t="shared" si="62"/>
        <v>9</v>
      </c>
      <c r="N103" s="518">
        <f t="shared" si="62"/>
        <v>10</v>
      </c>
      <c r="O103" s="518">
        <f t="shared" si="62"/>
        <v>11</v>
      </c>
      <c r="P103" s="518">
        <f t="shared" si="62"/>
        <v>12</v>
      </c>
      <c r="Q103" s="518">
        <f t="shared" si="62"/>
        <v>13</v>
      </c>
      <c r="R103" s="518">
        <f t="shared" si="62"/>
        <v>14</v>
      </c>
      <c r="S103" s="518">
        <f t="shared" si="62"/>
        <v>15</v>
      </c>
      <c r="T103" s="518">
        <f t="shared" si="62"/>
        <v>16</v>
      </c>
      <c r="U103" s="518">
        <f t="shared" si="62"/>
        <v>17</v>
      </c>
      <c r="V103" s="518">
        <f t="shared" si="62"/>
        <v>18</v>
      </c>
      <c r="W103" s="518">
        <f t="shared" si="62"/>
        <v>19</v>
      </c>
      <c r="X103" s="518">
        <f t="shared" si="62"/>
        <v>20</v>
      </c>
      <c r="Y103" s="518">
        <f t="shared" si="62"/>
        <v>21</v>
      </c>
      <c r="Z103" s="518">
        <f t="shared" si="62"/>
        <v>22</v>
      </c>
      <c r="AA103" s="518">
        <f t="shared" si="62"/>
        <v>23</v>
      </c>
      <c r="AB103" s="518">
        <f t="shared" si="62"/>
        <v>24</v>
      </c>
      <c r="AC103" s="520">
        <f t="shared" si="62"/>
        <v>25</v>
      </c>
      <c r="AD103" s="505"/>
      <c r="AE103" s="714" t="s">
        <v>225</v>
      </c>
      <c r="AF103" s="715"/>
      <c r="AG103" s="712" t="s">
        <v>226</v>
      </c>
      <c r="AH103" s="713"/>
      <c r="AI103" s="712" t="s">
        <v>235</v>
      </c>
      <c r="AJ103" s="713"/>
      <c r="AK103" s="505"/>
      <c r="AL103" s="505"/>
      <c r="AM103" s="505"/>
      <c r="AN103" s="505"/>
      <c r="AO103" s="505"/>
      <c r="AP103" s="505"/>
      <c r="AQ103" s="505"/>
      <c r="AR103" s="505"/>
      <c r="AS103" s="505"/>
      <c r="AT103" s="505"/>
      <c r="AU103" s="505"/>
      <c r="AV103" s="505"/>
      <c r="AW103" s="505"/>
      <c r="AX103" s="505"/>
      <c r="AY103" s="458"/>
      <c r="AZ103" s="458"/>
      <c r="BA103" s="458"/>
      <c r="BB103" s="458"/>
      <c r="BC103" s="488"/>
      <c r="BD103" s="488"/>
      <c r="BE103" s="488"/>
      <c r="BF103" s="488"/>
      <c r="BG103" s="488"/>
      <c r="BH103" s="488"/>
      <c r="BI103" s="488"/>
      <c r="BJ103" s="488"/>
      <c r="BK103" s="488"/>
      <c r="BL103" s="488"/>
      <c r="BM103" s="488"/>
      <c r="BN103" s="488"/>
      <c r="BO103" s="488"/>
      <c r="BP103" s="488"/>
    </row>
    <row r="104" spans="2:68" x14ac:dyDescent="0.25">
      <c r="B104" s="769" t="s">
        <v>162</v>
      </c>
      <c r="C104" s="770"/>
      <c r="D104" s="572"/>
      <c r="E104" s="550">
        <f>IF('Key_Assumptions_&amp;_Inputs'!$J$72="Easy",$AF$105,IF('Key_Assumptions_&amp;_Inputs'!$J$72="Moderate",$AF$106,IF('Key_Assumptions_&amp;_Inputs'!$J$72="Difficult",$AF$107)))</f>
        <v>0.20833333333333334</v>
      </c>
      <c r="F104" s="550">
        <f>IF('Key_Assumptions_&amp;_Inputs'!$J$72="Easy",$AH$105,IF('Key_Assumptions_&amp;_Inputs'!$J$72="Moderate",$AH$106,IF('Key_Assumptions_&amp;_Inputs'!$J$72="Difficult",$AH$107)))</f>
        <v>0.15625</v>
      </c>
      <c r="G104" s="550">
        <f>IF('Key_Assumptions_&amp;_Inputs'!$J$72="Easy",$AJ$105,IF('Key_Assumptions_&amp;_Inputs'!$J$72="Moderate",$AJ$106,IF('Key_Assumptions_&amp;_Inputs'!$J$72="Difficult",$AJ$107)))</f>
        <v>0.1328125</v>
      </c>
      <c r="H104" s="550">
        <f>IF('Key_Assumptions_&amp;_Inputs'!$J$72="Easy",$AJ$105,IF('Key_Assumptions_&amp;_Inputs'!$J$72="Moderate",$AJ$106,IF('Key_Assumptions_&amp;_Inputs'!$J$72="Difficult",$AJ$107)))</f>
        <v>0.1328125</v>
      </c>
      <c r="I104" s="550">
        <f>IF('Key_Assumptions_&amp;_Inputs'!$J$72="Easy",$AJ$105,IF('Key_Assumptions_&amp;_Inputs'!$J$72="Moderate",$AJ$106,IF('Key_Assumptions_&amp;_Inputs'!$J$72="Difficult",$AJ$107)))</f>
        <v>0.1328125</v>
      </c>
      <c r="J104" s="550">
        <f>IF('Key_Assumptions_&amp;_Inputs'!$J$72="Easy",$AJ$105,IF('Key_Assumptions_&amp;_Inputs'!$J$72="Moderate",$AJ$106,IF('Key_Assumptions_&amp;_Inputs'!$J$72="Difficult",$AJ$107)))</f>
        <v>0.1328125</v>
      </c>
      <c r="K104" s="550">
        <f>IF('Key_Assumptions_&amp;_Inputs'!$J$72="Easy",$AJ$105,IF('Key_Assumptions_&amp;_Inputs'!$J$72="Moderate",$AJ$106,IF('Key_Assumptions_&amp;_Inputs'!$J$72="Difficult",$AJ$107)))</f>
        <v>0.1328125</v>
      </c>
      <c r="L104" s="550">
        <f>IF('Key_Assumptions_&amp;_Inputs'!$J$72="Easy",$AJ$105,IF('Key_Assumptions_&amp;_Inputs'!$J$72="Moderate",$AJ$106,IF('Key_Assumptions_&amp;_Inputs'!$J$72="Difficult",$AJ$107)))</f>
        <v>0.1328125</v>
      </c>
      <c r="M104" s="550">
        <f>IF('Key_Assumptions_&amp;_Inputs'!$J$72="Easy",$AJ$105,IF('Key_Assumptions_&amp;_Inputs'!$J$72="Moderate",$AJ$106,IF('Key_Assumptions_&amp;_Inputs'!$J$72="Difficult",$AJ$107)))</f>
        <v>0.1328125</v>
      </c>
      <c r="N104" s="550">
        <f>IF('Key_Assumptions_&amp;_Inputs'!$J$72="Easy",$AJ$105,IF('Key_Assumptions_&amp;_Inputs'!$J$72="Moderate",$AJ$106,IF('Key_Assumptions_&amp;_Inputs'!$J$72="Difficult",$AJ$107)))</f>
        <v>0.1328125</v>
      </c>
      <c r="O104" s="550">
        <f>IF('Key_Assumptions_&amp;_Inputs'!$J$72="Easy",$AJ$105,IF('Key_Assumptions_&amp;_Inputs'!$J$72="Moderate",$AJ$106,IF('Key_Assumptions_&amp;_Inputs'!$J$72="Difficult",$AJ$107)))</f>
        <v>0.1328125</v>
      </c>
      <c r="P104" s="550">
        <f>IF('Key_Assumptions_&amp;_Inputs'!$J$72="Easy",$AJ$105,IF('Key_Assumptions_&amp;_Inputs'!$J$72="Moderate",$AJ$106,IF('Key_Assumptions_&amp;_Inputs'!$J$72="Difficult",$AJ$107)))</f>
        <v>0.1328125</v>
      </c>
      <c r="Q104" s="550">
        <f>IF('Key_Assumptions_&amp;_Inputs'!$J$72="Easy",$AJ$105,IF('Key_Assumptions_&amp;_Inputs'!$J$72="Moderate",$AJ$106,IF('Key_Assumptions_&amp;_Inputs'!$J$72="Difficult",$AJ$107)))</f>
        <v>0.1328125</v>
      </c>
      <c r="R104" s="550">
        <f>IF('Key_Assumptions_&amp;_Inputs'!$J$72="Easy",$AJ$105,IF('Key_Assumptions_&amp;_Inputs'!$J$72="Moderate",$AJ$106,IF('Key_Assumptions_&amp;_Inputs'!$J$72="Difficult",$AJ$107)))</f>
        <v>0.1328125</v>
      </c>
      <c r="S104" s="550">
        <f>IF('Key_Assumptions_&amp;_Inputs'!$J$72="Easy",$AJ$105,IF('Key_Assumptions_&amp;_Inputs'!$J$72="Moderate",$AJ$106,IF('Key_Assumptions_&amp;_Inputs'!$J$72="Difficult",$AJ$107)))</f>
        <v>0.1328125</v>
      </c>
      <c r="T104" s="550">
        <f>IF('Key_Assumptions_&amp;_Inputs'!$J$72="Easy",$AJ$105,IF('Key_Assumptions_&amp;_Inputs'!$J$72="Moderate",$AJ$106,IF('Key_Assumptions_&amp;_Inputs'!$J$72="Difficult",$AJ$107)))</f>
        <v>0.1328125</v>
      </c>
      <c r="U104" s="550">
        <f>IF('Key_Assumptions_&amp;_Inputs'!$J$72="Easy",$AJ$105,IF('Key_Assumptions_&amp;_Inputs'!$J$72="Moderate",$AJ$106,IF('Key_Assumptions_&amp;_Inputs'!$J$72="Difficult",$AJ$107)))</f>
        <v>0.1328125</v>
      </c>
      <c r="V104" s="550">
        <f>IF('Key_Assumptions_&amp;_Inputs'!$J$72="Easy",$AJ$105,IF('Key_Assumptions_&amp;_Inputs'!$J$72="Moderate",$AJ$106,IF('Key_Assumptions_&amp;_Inputs'!$J$72="Difficult",$AJ$107)))</f>
        <v>0.1328125</v>
      </c>
      <c r="W104" s="550">
        <f>IF('Key_Assumptions_&amp;_Inputs'!$J$72="Easy",$AJ$105,IF('Key_Assumptions_&amp;_Inputs'!$J$72="Moderate",$AJ$106,IF('Key_Assumptions_&amp;_Inputs'!$J$72="Difficult",$AJ$107)))</f>
        <v>0.1328125</v>
      </c>
      <c r="X104" s="550">
        <f>IF('Key_Assumptions_&amp;_Inputs'!$J$72="Easy",$AJ$105,IF('Key_Assumptions_&amp;_Inputs'!$J$72="Moderate",$AJ$106,IF('Key_Assumptions_&amp;_Inputs'!$J$72="Difficult",$AJ$107)))</f>
        <v>0.1328125</v>
      </c>
      <c r="Y104" s="550">
        <f>IF('Key_Assumptions_&amp;_Inputs'!$J$72="Easy",$AJ$105,IF('Key_Assumptions_&amp;_Inputs'!$J$72="Moderate",$AJ$106,IF('Key_Assumptions_&amp;_Inputs'!$J$72="Difficult",$AJ$107)))</f>
        <v>0.1328125</v>
      </c>
      <c r="Z104" s="550">
        <f>IF('Key_Assumptions_&amp;_Inputs'!$J$72="Easy",$AJ$105,IF('Key_Assumptions_&amp;_Inputs'!$J$72="Moderate",$AJ$106,IF('Key_Assumptions_&amp;_Inputs'!$J$72="Difficult",$AJ$107)))</f>
        <v>0.1328125</v>
      </c>
      <c r="AA104" s="550">
        <f>IF('Key_Assumptions_&amp;_Inputs'!$J$72="Easy",$AJ$105,IF('Key_Assumptions_&amp;_Inputs'!$J$72="Moderate",$AJ$106,IF('Key_Assumptions_&amp;_Inputs'!$J$72="Difficult",$AJ$107)))</f>
        <v>0.1328125</v>
      </c>
      <c r="AB104" s="550">
        <f>IF('Key_Assumptions_&amp;_Inputs'!$J$72="Easy",$AJ$105,IF('Key_Assumptions_&amp;_Inputs'!$J$72="Moderate",$AJ$106,IF('Key_Assumptions_&amp;_Inputs'!$J$72="Difficult",$AJ$107)))</f>
        <v>0.1328125</v>
      </c>
      <c r="AC104" s="551">
        <f>IF('Key_Assumptions_&amp;_Inputs'!$J$72="Easy",$AJ$105,IF('Key_Assumptions_&amp;_Inputs'!$J$72="Moderate",$AJ$106,IF('Key_Assumptions_&amp;_Inputs'!$J$72="Difficult",$AJ$107)))</f>
        <v>0.1328125</v>
      </c>
      <c r="AD104" s="505"/>
      <c r="AE104" s="564" t="s">
        <v>223</v>
      </c>
      <c r="AF104" s="565" t="s">
        <v>224</v>
      </c>
      <c r="AG104" s="564" t="s">
        <v>223</v>
      </c>
      <c r="AH104" s="565" t="s">
        <v>224</v>
      </c>
      <c r="AI104" s="564" t="s">
        <v>223</v>
      </c>
      <c r="AJ104" s="565" t="s">
        <v>224</v>
      </c>
      <c r="AK104" s="505"/>
      <c r="AL104" s="505"/>
      <c r="AM104" s="505"/>
      <c r="AN104" s="505"/>
      <c r="AO104" s="505"/>
      <c r="AP104" s="505"/>
      <c r="AQ104" s="505"/>
      <c r="AR104" s="505"/>
      <c r="AS104" s="505"/>
      <c r="AT104" s="505"/>
      <c r="AU104" s="505"/>
      <c r="AV104" s="505"/>
      <c r="AW104" s="505"/>
      <c r="AX104" s="505"/>
      <c r="AY104" s="458"/>
      <c r="AZ104" s="458"/>
      <c r="BA104" s="458"/>
      <c r="BB104" s="458"/>
      <c r="BC104" s="488"/>
      <c r="BD104" s="488"/>
      <c r="BE104" s="488"/>
      <c r="BF104" s="488"/>
      <c r="BG104" s="488"/>
      <c r="BH104" s="488"/>
      <c r="BI104" s="488"/>
      <c r="BJ104" s="488"/>
      <c r="BK104" s="488"/>
      <c r="BL104" s="488"/>
      <c r="BM104" s="488"/>
      <c r="BN104" s="488"/>
      <c r="BO104" s="488"/>
      <c r="BP104" s="488"/>
    </row>
    <row r="105" spans="2:68" x14ac:dyDescent="0.25">
      <c r="B105" s="769" t="s">
        <v>132</v>
      </c>
      <c r="C105" s="770"/>
      <c r="D105" s="534"/>
      <c r="E105" s="484">
        <f>$D$13</f>
        <v>50</v>
      </c>
      <c r="F105" s="485">
        <f>E105*(1+$D$14)</f>
        <v>51.5</v>
      </c>
      <c r="G105" s="485">
        <f t="shared" ref="G105:AC105" si="63">F105*(1+$D$14)</f>
        <v>53.045000000000002</v>
      </c>
      <c r="H105" s="485">
        <f t="shared" si="63"/>
        <v>54.63635</v>
      </c>
      <c r="I105" s="485">
        <f t="shared" si="63"/>
        <v>56.275440500000002</v>
      </c>
      <c r="J105" s="485">
        <f t="shared" si="63"/>
        <v>57.963703715000001</v>
      </c>
      <c r="K105" s="485">
        <f t="shared" si="63"/>
        <v>59.702614826450002</v>
      </c>
      <c r="L105" s="485">
        <f t="shared" si="63"/>
        <v>61.493693271243501</v>
      </c>
      <c r="M105" s="485">
        <f t="shared" si="63"/>
        <v>63.338504069380811</v>
      </c>
      <c r="N105" s="485">
        <f t="shared" si="63"/>
        <v>65.238659191462233</v>
      </c>
      <c r="O105" s="485">
        <f t="shared" si="63"/>
        <v>67.195818967206108</v>
      </c>
      <c r="P105" s="485">
        <f t="shared" si="63"/>
        <v>69.211693536222299</v>
      </c>
      <c r="Q105" s="485">
        <f t="shared" si="63"/>
        <v>71.288044342308964</v>
      </c>
      <c r="R105" s="485">
        <f t="shared" si="63"/>
        <v>73.42668567257823</v>
      </c>
      <c r="S105" s="485">
        <f t="shared" si="63"/>
        <v>75.629486242755576</v>
      </c>
      <c r="T105" s="485">
        <f t="shared" si="63"/>
        <v>77.898370830038246</v>
      </c>
      <c r="U105" s="485">
        <f t="shared" si="63"/>
        <v>80.235321954939394</v>
      </c>
      <c r="V105" s="485">
        <f t="shared" si="63"/>
        <v>82.642381613587574</v>
      </c>
      <c r="W105" s="485">
        <f t="shared" si="63"/>
        <v>85.121653061995204</v>
      </c>
      <c r="X105" s="485">
        <f t="shared" si="63"/>
        <v>87.675302653855056</v>
      </c>
      <c r="Y105" s="485">
        <f t="shared" si="63"/>
        <v>90.305561733470711</v>
      </c>
      <c r="Z105" s="485">
        <f t="shared" si="63"/>
        <v>93.014728585474828</v>
      </c>
      <c r="AA105" s="485">
        <f t="shared" si="63"/>
        <v>95.805170443039074</v>
      </c>
      <c r="AB105" s="485">
        <f t="shared" si="63"/>
        <v>98.679325556330255</v>
      </c>
      <c r="AC105" s="553">
        <f t="shared" si="63"/>
        <v>101.63970532302017</v>
      </c>
      <c r="AD105" s="505" t="s">
        <v>217</v>
      </c>
      <c r="AE105" s="316">
        <v>10</v>
      </c>
      <c r="AF105" s="566">
        <f>AE105/60</f>
        <v>0.16666666666666666</v>
      </c>
      <c r="AG105" s="567">
        <f>AE105*(1-$AF$87)</f>
        <v>7.5</v>
      </c>
      <c r="AH105" s="566">
        <f>AG105/60</f>
        <v>0.125</v>
      </c>
      <c r="AI105" s="567">
        <f>AG105*(1-$AG$87)</f>
        <v>6.375</v>
      </c>
      <c r="AJ105" s="566">
        <f>AI105/60</f>
        <v>0.10625</v>
      </c>
      <c r="AK105" s="505"/>
      <c r="AL105" s="505"/>
      <c r="AM105" s="505"/>
      <c r="AN105" s="505"/>
      <c r="AO105" s="505"/>
      <c r="AP105" s="505"/>
      <c r="AQ105" s="505"/>
      <c r="AR105" s="505"/>
      <c r="AS105" s="505"/>
      <c r="AT105" s="505"/>
      <c r="AU105" s="505"/>
      <c r="AV105" s="505"/>
      <c r="AW105" s="505"/>
      <c r="AX105" s="505"/>
      <c r="AY105" s="458"/>
      <c r="AZ105" s="458"/>
      <c r="BA105" s="458"/>
      <c r="BB105" s="458"/>
      <c r="BC105" s="488"/>
      <c r="BD105" s="488"/>
      <c r="BE105" s="488"/>
      <c r="BF105" s="488"/>
      <c r="BG105" s="488"/>
      <c r="BH105" s="488"/>
      <c r="BI105" s="488"/>
      <c r="BJ105" s="488"/>
      <c r="BK105" s="488"/>
      <c r="BL105" s="488"/>
      <c r="BM105" s="488"/>
      <c r="BN105" s="488"/>
      <c r="BO105" s="488"/>
      <c r="BP105" s="488"/>
    </row>
    <row r="106" spans="2:68" ht="15.75" thickBot="1" x14ac:dyDescent="0.3">
      <c r="B106" s="771" t="s">
        <v>163</v>
      </c>
      <c r="C106" s="772"/>
      <c r="D106" s="554"/>
      <c r="E106" s="555">
        <f>E104*E105</f>
        <v>10.416666666666668</v>
      </c>
      <c r="F106" s="555">
        <f t="shared" ref="F106:G106" si="64">F104*F105</f>
        <v>8.046875</v>
      </c>
      <c r="G106" s="555">
        <f t="shared" si="64"/>
        <v>7.0450390624999999</v>
      </c>
      <c r="H106" s="555">
        <f t="shared" ref="H106" si="65">H104*H105</f>
        <v>7.256390234375</v>
      </c>
      <c r="I106" s="555">
        <f t="shared" ref="I106" si="66">I104*I105</f>
        <v>7.4740819414062507</v>
      </c>
      <c r="J106" s="555">
        <f t="shared" ref="J106" si="67">J104*J105</f>
        <v>7.6983043996484373</v>
      </c>
      <c r="K106" s="555">
        <f t="shared" ref="K106" si="68">K104*K105</f>
        <v>7.9292535316378912</v>
      </c>
      <c r="L106" s="555">
        <f t="shared" ref="L106" si="69">L104*L105</f>
        <v>8.1671311375870275</v>
      </c>
      <c r="M106" s="555">
        <f t="shared" ref="M106" si="70">M104*M105</f>
        <v>8.4121450717146384</v>
      </c>
      <c r="N106" s="555">
        <f t="shared" ref="N106" si="71">N104*N105</f>
        <v>8.6645094238660771</v>
      </c>
      <c r="O106" s="555">
        <f t="shared" ref="O106" si="72">O104*O105</f>
        <v>8.9244447065820616</v>
      </c>
      <c r="P106" s="555">
        <f t="shared" ref="P106" si="73">P104*P105</f>
        <v>9.1921780477795245</v>
      </c>
      <c r="Q106" s="555">
        <f t="shared" ref="Q106" si="74">Q104*Q105</f>
        <v>9.467943389212909</v>
      </c>
      <c r="R106" s="555">
        <f t="shared" ref="R106" si="75">R104*R105</f>
        <v>9.7519816908892967</v>
      </c>
      <c r="S106" s="555">
        <f t="shared" ref="S106" si="76">S104*S105</f>
        <v>10.044541141615975</v>
      </c>
      <c r="T106" s="555">
        <f t="shared" ref="T106" si="77">T104*T105</f>
        <v>10.345877375864454</v>
      </c>
      <c r="U106" s="555">
        <f t="shared" ref="U106" si="78">U104*U105</f>
        <v>10.656253697140388</v>
      </c>
      <c r="V106" s="555">
        <f t="shared" ref="V106" si="79">V104*V105</f>
        <v>10.975941308054599</v>
      </c>
      <c r="W106" s="555">
        <f t="shared" ref="W106" si="80">W104*W105</f>
        <v>11.305219547296238</v>
      </c>
      <c r="X106" s="555">
        <f t="shared" ref="X106" si="81">X104*X105</f>
        <v>11.644376133715124</v>
      </c>
      <c r="Y106" s="555">
        <f t="shared" ref="Y106" si="82">Y104*Y105</f>
        <v>11.993707417726579</v>
      </c>
      <c r="Z106" s="555">
        <f t="shared" ref="Z106" si="83">Z104*Z105</f>
        <v>12.353518640258375</v>
      </c>
      <c r="AA106" s="555">
        <f t="shared" ref="AA106" si="84">AA104*AA105</f>
        <v>12.724124199466127</v>
      </c>
      <c r="AB106" s="555">
        <f t="shared" ref="AB106" si="85">AB104*AB105</f>
        <v>13.105847925450112</v>
      </c>
      <c r="AC106" s="556">
        <f t="shared" ref="AC106" si="86">AC104*AC105</f>
        <v>13.499023363213617</v>
      </c>
      <c r="AD106" s="505" t="s">
        <v>221</v>
      </c>
      <c r="AE106" s="316">
        <v>12.5</v>
      </c>
      <c r="AF106" s="566">
        <f>AE106/60</f>
        <v>0.20833333333333334</v>
      </c>
      <c r="AG106" s="567">
        <f t="shared" ref="AG106:AG107" si="87">AE106*(1-$AF$87)</f>
        <v>9.375</v>
      </c>
      <c r="AH106" s="566">
        <f>AG106/60</f>
        <v>0.15625</v>
      </c>
      <c r="AI106" s="567">
        <f t="shared" ref="AI106:AI107" si="88">AG106*(1-$AG$87)</f>
        <v>7.96875</v>
      </c>
      <c r="AJ106" s="566">
        <f>AI106/60</f>
        <v>0.1328125</v>
      </c>
      <c r="AK106" s="505"/>
      <c r="AL106" s="505"/>
      <c r="AM106" s="505"/>
      <c r="AN106" s="505"/>
      <c r="AO106" s="505"/>
      <c r="AP106" s="505"/>
      <c r="AQ106" s="505"/>
      <c r="AR106" s="505"/>
      <c r="AS106" s="505"/>
      <c r="AT106" s="505"/>
      <c r="AU106" s="505"/>
      <c r="AV106" s="505"/>
      <c r="AW106" s="505"/>
      <c r="AX106" s="505"/>
      <c r="AY106" s="458"/>
      <c r="AZ106" s="458"/>
      <c r="BA106" s="458"/>
      <c r="BB106" s="458"/>
      <c r="BC106" s="488"/>
      <c r="BD106" s="488"/>
      <c r="BE106" s="488"/>
      <c r="BF106" s="488"/>
      <c r="BG106" s="488"/>
      <c r="BH106" s="488"/>
      <c r="BI106" s="488"/>
      <c r="BJ106" s="488"/>
      <c r="BK106" s="488"/>
      <c r="BL106" s="488"/>
      <c r="BM106" s="488"/>
      <c r="BN106" s="488"/>
      <c r="BO106" s="488"/>
      <c r="BP106" s="488"/>
    </row>
    <row r="107" spans="2:68" ht="16.5" thickTop="1" thickBot="1" x14ac:dyDescent="0.3">
      <c r="B107" s="762" t="s">
        <v>159</v>
      </c>
      <c r="C107" s="763"/>
      <c r="D107" s="541"/>
      <c r="E107" s="560">
        <f>E86*E106</f>
        <v>1421.8750000000002</v>
      </c>
      <c r="F107" s="560">
        <f t="shared" ref="F107:AC107" si="89">F86*F106</f>
        <v>16.8984375</v>
      </c>
      <c r="G107" s="560">
        <f t="shared" si="89"/>
        <v>14.79458203125</v>
      </c>
      <c r="H107" s="560">
        <f t="shared" si="89"/>
        <v>15.2384194921875</v>
      </c>
      <c r="I107" s="560">
        <f t="shared" si="89"/>
        <v>15.695572076953127</v>
      </c>
      <c r="J107" s="560">
        <f t="shared" si="89"/>
        <v>16.16643923926172</v>
      </c>
      <c r="K107" s="560">
        <f t="shared" si="89"/>
        <v>16.651432416439572</v>
      </c>
      <c r="L107" s="560">
        <f t="shared" si="89"/>
        <v>17.150975388932757</v>
      </c>
      <c r="M107" s="560">
        <f t="shared" si="89"/>
        <v>17.665504650600742</v>
      </c>
      <c r="N107" s="560">
        <f t="shared" si="89"/>
        <v>18.195469790118764</v>
      </c>
      <c r="O107" s="560">
        <f t="shared" si="89"/>
        <v>18.741333883822332</v>
      </c>
      <c r="P107" s="560">
        <f t="shared" si="89"/>
        <v>19.303573900337003</v>
      </c>
      <c r="Q107" s="560">
        <f t="shared" si="89"/>
        <v>19.882681117347111</v>
      </c>
      <c r="R107" s="560">
        <f t="shared" si="89"/>
        <v>20.479161550867524</v>
      </c>
      <c r="S107" s="560">
        <f t="shared" si="89"/>
        <v>21.093536397393549</v>
      </c>
      <c r="T107" s="560">
        <f t="shared" si="89"/>
        <v>21.726342489315353</v>
      </c>
      <c r="U107" s="560">
        <f t="shared" si="89"/>
        <v>22.378132763994817</v>
      </c>
      <c r="V107" s="560">
        <f t="shared" si="89"/>
        <v>23.04947674691466</v>
      </c>
      <c r="W107" s="560">
        <f t="shared" si="89"/>
        <v>23.740961049322099</v>
      </c>
      <c r="X107" s="560">
        <f t="shared" si="89"/>
        <v>24.453189880801762</v>
      </c>
      <c r="Y107" s="560">
        <f t="shared" si="89"/>
        <v>25.186785577225816</v>
      </c>
      <c r="Z107" s="560">
        <f t="shared" si="89"/>
        <v>25.942389144542588</v>
      </c>
      <c r="AA107" s="560">
        <f t="shared" si="89"/>
        <v>26.720660818878869</v>
      </c>
      <c r="AB107" s="560">
        <f t="shared" si="89"/>
        <v>27.522280643445235</v>
      </c>
      <c r="AC107" s="561">
        <f t="shared" si="89"/>
        <v>28.347949062748597</v>
      </c>
      <c r="AD107" s="505" t="s">
        <v>229</v>
      </c>
      <c r="AE107" s="317">
        <v>15</v>
      </c>
      <c r="AF107" s="568">
        <f>AE107/60</f>
        <v>0.25</v>
      </c>
      <c r="AG107" s="569">
        <f t="shared" si="87"/>
        <v>11.25</v>
      </c>
      <c r="AH107" s="568">
        <f>AG107/60</f>
        <v>0.1875</v>
      </c>
      <c r="AI107" s="569">
        <f t="shared" si="88"/>
        <v>9.5625</v>
      </c>
      <c r="AJ107" s="568">
        <f>AI107/60</f>
        <v>0.15937499999999999</v>
      </c>
      <c r="AK107" s="505"/>
      <c r="AL107" s="505"/>
      <c r="AM107" s="505"/>
      <c r="AN107" s="505"/>
      <c r="AO107" s="505"/>
      <c r="AP107" s="505"/>
      <c r="AQ107" s="505"/>
      <c r="AR107" s="505"/>
      <c r="AS107" s="505"/>
      <c r="AT107" s="505"/>
      <c r="AU107" s="505"/>
      <c r="AV107" s="505"/>
      <c r="AW107" s="505"/>
      <c r="AX107" s="505"/>
      <c r="AY107" s="458"/>
      <c r="AZ107" s="458"/>
      <c r="BA107" s="458"/>
      <c r="BB107" s="458"/>
      <c r="BC107" s="488"/>
      <c r="BD107" s="488"/>
      <c r="BE107" s="488"/>
      <c r="BF107" s="488"/>
      <c r="BG107" s="488"/>
      <c r="BH107" s="488"/>
      <c r="BI107" s="488"/>
      <c r="BJ107" s="488"/>
      <c r="BK107" s="488"/>
      <c r="BL107" s="488"/>
      <c r="BM107" s="488"/>
      <c r="BN107" s="488"/>
      <c r="BO107" s="488"/>
      <c r="BP107" s="488"/>
    </row>
    <row r="108" spans="2:68" ht="15.75" thickBot="1" x14ac:dyDescent="0.3">
      <c r="B108" s="573"/>
      <c r="C108" s="573"/>
      <c r="D108" s="378"/>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05"/>
      <c r="AG108" s="505"/>
      <c r="AH108" s="505"/>
      <c r="AI108" s="505"/>
      <c r="AJ108" s="505"/>
      <c r="AK108" s="505"/>
      <c r="AL108" s="505"/>
      <c r="AM108" s="505"/>
      <c r="AN108" s="505"/>
      <c r="AO108" s="505"/>
      <c r="AP108" s="505"/>
      <c r="AQ108" s="505"/>
      <c r="AR108" s="505"/>
      <c r="AS108" s="505"/>
      <c r="AT108" s="505"/>
      <c r="AU108" s="505"/>
      <c r="AV108" s="505"/>
      <c r="AW108" s="505"/>
      <c r="AX108" s="505"/>
      <c r="AY108" s="458"/>
      <c r="AZ108" s="458"/>
      <c r="BA108" s="458"/>
      <c r="BB108" s="458"/>
      <c r="BC108" s="488"/>
      <c r="BD108" s="488"/>
      <c r="BE108" s="488"/>
      <c r="BF108" s="488"/>
      <c r="BG108" s="488"/>
      <c r="BH108" s="488"/>
      <c r="BI108" s="488"/>
      <c r="BJ108" s="488"/>
      <c r="BK108" s="488"/>
      <c r="BL108" s="488"/>
      <c r="BM108" s="488"/>
      <c r="BN108" s="488"/>
      <c r="BO108" s="488"/>
      <c r="BP108" s="488"/>
    </row>
    <row r="109" spans="2:68" x14ac:dyDescent="0.25">
      <c r="B109" s="757" t="s">
        <v>131</v>
      </c>
      <c r="C109" s="758"/>
      <c r="D109" s="761"/>
      <c r="E109" s="518">
        <v>1</v>
      </c>
      <c r="F109" s="518">
        <f t="shared" ref="F109:AC109" si="90">E109+1</f>
        <v>2</v>
      </c>
      <c r="G109" s="518">
        <f t="shared" si="90"/>
        <v>3</v>
      </c>
      <c r="H109" s="518">
        <f t="shared" si="90"/>
        <v>4</v>
      </c>
      <c r="I109" s="518">
        <f t="shared" si="90"/>
        <v>5</v>
      </c>
      <c r="J109" s="518">
        <f t="shared" si="90"/>
        <v>6</v>
      </c>
      <c r="K109" s="518">
        <f t="shared" si="90"/>
        <v>7</v>
      </c>
      <c r="L109" s="518">
        <f t="shared" si="90"/>
        <v>8</v>
      </c>
      <c r="M109" s="518">
        <f t="shared" si="90"/>
        <v>9</v>
      </c>
      <c r="N109" s="518">
        <f t="shared" si="90"/>
        <v>10</v>
      </c>
      <c r="O109" s="518">
        <f t="shared" si="90"/>
        <v>11</v>
      </c>
      <c r="P109" s="518">
        <f t="shared" si="90"/>
        <v>12</v>
      </c>
      <c r="Q109" s="518">
        <f t="shared" si="90"/>
        <v>13</v>
      </c>
      <c r="R109" s="518">
        <f t="shared" si="90"/>
        <v>14</v>
      </c>
      <c r="S109" s="518">
        <f t="shared" si="90"/>
        <v>15</v>
      </c>
      <c r="T109" s="518">
        <f t="shared" si="90"/>
        <v>16</v>
      </c>
      <c r="U109" s="518">
        <f t="shared" si="90"/>
        <v>17</v>
      </c>
      <c r="V109" s="518">
        <f t="shared" si="90"/>
        <v>18</v>
      </c>
      <c r="W109" s="518">
        <f t="shared" si="90"/>
        <v>19</v>
      </c>
      <c r="X109" s="518">
        <f t="shared" si="90"/>
        <v>20</v>
      </c>
      <c r="Y109" s="518">
        <f t="shared" si="90"/>
        <v>21</v>
      </c>
      <c r="Z109" s="518">
        <f t="shared" si="90"/>
        <v>22</v>
      </c>
      <c r="AA109" s="518">
        <f t="shared" si="90"/>
        <v>23</v>
      </c>
      <c r="AB109" s="518">
        <f t="shared" si="90"/>
        <v>24</v>
      </c>
      <c r="AC109" s="520">
        <f t="shared" si="90"/>
        <v>25</v>
      </c>
      <c r="AD109" s="505"/>
      <c r="AE109" s="538" t="s">
        <v>239</v>
      </c>
      <c r="AG109" s="505"/>
      <c r="AH109" s="505"/>
      <c r="AI109" s="505"/>
      <c r="AJ109" s="505"/>
      <c r="AK109" s="505"/>
      <c r="AL109" s="505"/>
      <c r="AM109" s="546" t="s">
        <v>236</v>
      </c>
      <c r="AN109" s="505"/>
      <c r="AO109" s="505"/>
      <c r="AP109" s="505"/>
      <c r="AQ109" s="505"/>
      <c r="AR109" s="505"/>
      <c r="AS109" s="505"/>
      <c r="AT109" s="505"/>
      <c r="AU109" s="505"/>
      <c r="AV109" s="505"/>
      <c r="AW109" s="505"/>
      <c r="AX109" s="505"/>
      <c r="AY109" s="458"/>
      <c r="AZ109" s="458"/>
      <c r="BA109" s="458"/>
      <c r="BB109" s="458"/>
      <c r="BC109" s="488"/>
      <c r="BD109" s="488"/>
      <c r="BE109" s="488"/>
      <c r="BF109" s="488"/>
      <c r="BG109" s="488"/>
      <c r="BH109" s="488"/>
      <c r="BI109" s="488"/>
      <c r="BJ109" s="488"/>
      <c r="BK109" s="488"/>
      <c r="BL109" s="488"/>
      <c r="BM109" s="488"/>
      <c r="BN109" s="488"/>
      <c r="BO109" s="488"/>
      <c r="BP109" s="488"/>
    </row>
    <row r="110" spans="2:68" x14ac:dyDescent="0.25">
      <c r="B110" s="769" t="s">
        <v>216</v>
      </c>
      <c r="C110" s="770"/>
      <c r="D110" s="534"/>
      <c r="E110" s="483">
        <f>IF('Key_Assumptions_&amp;_Inputs'!$J$72="Easy",AM112,IF('Key_Assumptions_&amp;_Inputs'!$J$72="Moderate",AM113,IF('Key_Assumptions_&amp;_Inputs'!$J$72="Difficult",AM114)))</f>
        <v>0.1</v>
      </c>
      <c r="F110" s="483">
        <f>IF('Key_Assumptions_&amp;_Inputs'!$J$72="Easy",AN112,IF('Key_Assumptions_&amp;_Inputs'!$J$72="Moderate",AN113,IF('Key_Assumptions_&amp;_Inputs'!$J$72="Difficult",AN114)))</f>
        <v>7.5000000000000011E-2</v>
      </c>
      <c r="G110" s="483">
        <f>IF('Key_Assumptions_&amp;_Inputs'!$J$72="Easy",$AO$112,IF('Key_Assumptions_&amp;_Inputs'!$J$72="Moderate",$AO$113,IF('Key_Assumptions_&amp;_Inputs'!$J$72="Difficult",$AO$114)))</f>
        <v>6.3750000000000001E-2</v>
      </c>
      <c r="H110" s="483">
        <f>G110*0.5</f>
        <v>3.1875000000000001E-2</v>
      </c>
      <c r="I110" s="483">
        <f>H110*0.5</f>
        <v>1.59375E-2</v>
      </c>
      <c r="J110" s="483">
        <f>I110</f>
        <v>1.59375E-2</v>
      </c>
      <c r="K110" s="483">
        <f t="shared" ref="K110:AC110" si="91">J110</f>
        <v>1.59375E-2</v>
      </c>
      <c r="L110" s="483">
        <f t="shared" si="91"/>
        <v>1.59375E-2</v>
      </c>
      <c r="M110" s="483">
        <f t="shared" si="91"/>
        <v>1.59375E-2</v>
      </c>
      <c r="N110" s="483">
        <f t="shared" si="91"/>
        <v>1.59375E-2</v>
      </c>
      <c r="O110" s="483">
        <f t="shared" si="91"/>
        <v>1.59375E-2</v>
      </c>
      <c r="P110" s="483">
        <f t="shared" si="91"/>
        <v>1.59375E-2</v>
      </c>
      <c r="Q110" s="483">
        <f t="shared" si="91"/>
        <v>1.59375E-2</v>
      </c>
      <c r="R110" s="483">
        <f t="shared" si="91"/>
        <v>1.59375E-2</v>
      </c>
      <c r="S110" s="483">
        <f t="shared" si="91"/>
        <v>1.59375E-2</v>
      </c>
      <c r="T110" s="483">
        <f t="shared" si="91"/>
        <v>1.59375E-2</v>
      </c>
      <c r="U110" s="483">
        <f t="shared" si="91"/>
        <v>1.59375E-2</v>
      </c>
      <c r="V110" s="483">
        <f t="shared" si="91"/>
        <v>1.59375E-2</v>
      </c>
      <c r="W110" s="483">
        <f t="shared" si="91"/>
        <v>1.59375E-2</v>
      </c>
      <c r="X110" s="483">
        <f t="shared" si="91"/>
        <v>1.59375E-2</v>
      </c>
      <c r="Y110" s="483">
        <f t="shared" si="91"/>
        <v>1.59375E-2</v>
      </c>
      <c r="Z110" s="483">
        <f t="shared" si="91"/>
        <v>1.59375E-2</v>
      </c>
      <c r="AA110" s="483">
        <f t="shared" si="91"/>
        <v>1.59375E-2</v>
      </c>
      <c r="AB110" s="483">
        <f t="shared" si="91"/>
        <v>1.59375E-2</v>
      </c>
      <c r="AC110" s="483">
        <f t="shared" si="91"/>
        <v>1.59375E-2</v>
      </c>
      <c r="AD110" s="505"/>
      <c r="AE110" s="714" t="s">
        <v>225</v>
      </c>
      <c r="AF110" s="715"/>
      <c r="AG110" s="712" t="s">
        <v>226</v>
      </c>
      <c r="AH110" s="713"/>
      <c r="AI110" s="712" t="s">
        <v>235</v>
      </c>
      <c r="AJ110" s="713"/>
      <c r="AK110" s="505"/>
      <c r="AL110" s="505"/>
      <c r="AM110" s="539" t="s">
        <v>225</v>
      </c>
      <c r="AN110" s="540" t="s">
        <v>226</v>
      </c>
      <c r="AO110" s="540" t="s">
        <v>235</v>
      </c>
      <c r="AP110" s="505"/>
      <c r="AQ110" s="505"/>
      <c r="AR110" s="458"/>
      <c r="AS110" s="458"/>
      <c r="AT110" s="458"/>
      <c r="AU110" s="458"/>
      <c r="AV110" s="488"/>
      <c r="AW110" s="488"/>
      <c r="AX110" s="488"/>
      <c r="AY110" s="488"/>
      <c r="AZ110" s="488"/>
      <c r="BA110" s="488"/>
      <c r="BB110" s="488"/>
      <c r="BC110" s="488"/>
      <c r="BD110" s="488"/>
      <c r="BE110" s="488"/>
      <c r="BF110" s="488"/>
      <c r="BG110" s="488"/>
      <c r="BH110" s="488"/>
      <c r="BI110" s="488"/>
    </row>
    <row r="111" spans="2:68" x14ac:dyDescent="0.25">
      <c r="B111" s="769" t="s">
        <v>164</v>
      </c>
      <c r="C111" s="770"/>
      <c r="D111" s="534"/>
      <c r="E111" s="550">
        <f>IF('Key_Assumptions_&amp;_Inputs'!$J$72="Easy",$AF$112,IF('Key_Assumptions_&amp;_Inputs'!$J$72="Moderate",$AF$113,IF('Key_Assumptions_&amp;_Inputs'!$J$72="Difficult",$AF$114)))</f>
        <v>0.125</v>
      </c>
      <c r="F111" s="550">
        <f>IF('Key_Assumptions_&amp;_Inputs'!$J$72="Easy",$AH$112,IF('Key_Assumptions_&amp;_Inputs'!$J$72="Moderate",$AH$113,IF('Key_Assumptions_&amp;_Inputs'!$J$72="Difficult",$AH$114)))</f>
        <v>9.375E-2</v>
      </c>
      <c r="G111" s="550">
        <f>IF('Key_Assumptions_&amp;_Inputs'!$J$72="Easy",$AJ$112,IF('Key_Assumptions_&amp;_Inputs'!$J$72="Moderate",$AJ$113,IF('Key_Assumptions_&amp;_Inputs'!$J$72="Difficult",$AJ$114)))</f>
        <v>7.9687499999999994E-2</v>
      </c>
      <c r="H111" s="550">
        <f>IF('Key_Assumptions_&amp;_Inputs'!$J$72="Easy",$AJ$112,IF('Key_Assumptions_&amp;_Inputs'!$J$72="Moderate",$AJ$113,IF('Key_Assumptions_&amp;_Inputs'!$J$72="Difficult",$AJ$114)))</f>
        <v>7.9687499999999994E-2</v>
      </c>
      <c r="I111" s="550">
        <f>IF('Key_Assumptions_&amp;_Inputs'!$J$72="Easy",$AJ$112,IF('Key_Assumptions_&amp;_Inputs'!$J$72="Moderate",$AJ$113,IF('Key_Assumptions_&amp;_Inputs'!$J$72="Difficult",$AJ$114)))</f>
        <v>7.9687499999999994E-2</v>
      </c>
      <c r="J111" s="550">
        <f>IF('Key_Assumptions_&amp;_Inputs'!$J$72="Easy",$AJ$112,IF('Key_Assumptions_&amp;_Inputs'!$J$72="Moderate",$AJ$113,IF('Key_Assumptions_&amp;_Inputs'!$J$72="Difficult",$AJ$114)))</f>
        <v>7.9687499999999994E-2</v>
      </c>
      <c r="K111" s="550">
        <f>IF('Key_Assumptions_&amp;_Inputs'!$J$72="Easy",$AJ$112,IF('Key_Assumptions_&amp;_Inputs'!$J$72="Moderate",$AJ$113,IF('Key_Assumptions_&amp;_Inputs'!$J$72="Difficult",$AJ$114)))</f>
        <v>7.9687499999999994E-2</v>
      </c>
      <c r="L111" s="550">
        <f>IF('Key_Assumptions_&amp;_Inputs'!$J$72="Easy",$AJ$112,IF('Key_Assumptions_&amp;_Inputs'!$J$72="Moderate",$AJ$113,IF('Key_Assumptions_&amp;_Inputs'!$J$72="Difficult",$AJ$114)))</f>
        <v>7.9687499999999994E-2</v>
      </c>
      <c r="M111" s="550">
        <f>IF('Key_Assumptions_&amp;_Inputs'!$J$72="Easy",$AJ$112,IF('Key_Assumptions_&amp;_Inputs'!$J$72="Moderate",$AJ$113,IF('Key_Assumptions_&amp;_Inputs'!$J$72="Difficult",$AJ$114)))</f>
        <v>7.9687499999999994E-2</v>
      </c>
      <c r="N111" s="550">
        <f>IF('Key_Assumptions_&amp;_Inputs'!$J$72="Easy",$AJ$112,IF('Key_Assumptions_&amp;_Inputs'!$J$72="Moderate",$AJ$113,IF('Key_Assumptions_&amp;_Inputs'!$J$72="Difficult",$AJ$114)))</f>
        <v>7.9687499999999994E-2</v>
      </c>
      <c r="O111" s="550">
        <f>IF('Key_Assumptions_&amp;_Inputs'!$J$72="Easy",$AJ$112,IF('Key_Assumptions_&amp;_Inputs'!$J$72="Moderate",$AJ$113,IF('Key_Assumptions_&amp;_Inputs'!$J$72="Difficult",$AJ$114)))</f>
        <v>7.9687499999999994E-2</v>
      </c>
      <c r="P111" s="550">
        <f>IF('Key_Assumptions_&amp;_Inputs'!$J$72="Easy",$AJ$112,IF('Key_Assumptions_&amp;_Inputs'!$J$72="Moderate",$AJ$113,IF('Key_Assumptions_&amp;_Inputs'!$J$72="Difficult",$AJ$114)))</f>
        <v>7.9687499999999994E-2</v>
      </c>
      <c r="Q111" s="550">
        <f>IF('Key_Assumptions_&amp;_Inputs'!$J$72="Easy",$AJ$112,IF('Key_Assumptions_&amp;_Inputs'!$J$72="Moderate",$AJ$113,IF('Key_Assumptions_&amp;_Inputs'!$J$72="Difficult",$AJ$114)))</f>
        <v>7.9687499999999994E-2</v>
      </c>
      <c r="R111" s="550">
        <f>IF('Key_Assumptions_&amp;_Inputs'!$J$72="Easy",$AJ$112,IF('Key_Assumptions_&amp;_Inputs'!$J$72="Moderate",$AJ$113,IF('Key_Assumptions_&amp;_Inputs'!$J$72="Difficult",$AJ$114)))</f>
        <v>7.9687499999999994E-2</v>
      </c>
      <c r="S111" s="550">
        <f>IF('Key_Assumptions_&amp;_Inputs'!$J$72="Easy",$AJ$112,IF('Key_Assumptions_&amp;_Inputs'!$J$72="Moderate",$AJ$113,IF('Key_Assumptions_&amp;_Inputs'!$J$72="Difficult",$AJ$114)))</f>
        <v>7.9687499999999994E-2</v>
      </c>
      <c r="T111" s="550">
        <f>IF('Key_Assumptions_&amp;_Inputs'!$J$72="Easy",$AJ$112,IF('Key_Assumptions_&amp;_Inputs'!$J$72="Moderate",$AJ$113,IF('Key_Assumptions_&amp;_Inputs'!$J$72="Difficult",$AJ$114)))</f>
        <v>7.9687499999999994E-2</v>
      </c>
      <c r="U111" s="550">
        <f>IF('Key_Assumptions_&amp;_Inputs'!$J$72="Easy",$AJ$112,IF('Key_Assumptions_&amp;_Inputs'!$J$72="Moderate",$AJ$113,IF('Key_Assumptions_&amp;_Inputs'!$J$72="Difficult",$AJ$114)))</f>
        <v>7.9687499999999994E-2</v>
      </c>
      <c r="V111" s="550">
        <f>IF('Key_Assumptions_&amp;_Inputs'!$J$72="Easy",$AJ$112,IF('Key_Assumptions_&amp;_Inputs'!$J$72="Moderate",$AJ$113,IF('Key_Assumptions_&amp;_Inputs'!$J$72="Difficult",$AJ$114)))</f>
        <v>7.9687499999999994E-2</v>
      </c>
      <c r="W111" s="550">
        <f>IF('Key_Assumptions_&amp;_Inputs'!$J$72="Easy",$AJ$112,IF('Key_Assumptions_&amp;_Inputs'!$J$72="Moderate",$AJ$113,IF('Key_Assumptions_&amp;_Inputs'!$J$72="Difficult",$AJ$114)))</f>
        <v>7.9687499999999994E-2</v>
      </c>
      <c r="X111" s="550">
        <f>IF('Key_Assumptions_&amp;_Inputs'!$J$72="Easy",$AJ$112,IF('Key_Assumptions_&amp;_Inputs'!$J$72="Moderate",$AJ$113,IF('Key_Assumptions_&amp;_Inputs'!$J$72="Difficult",$AJ$114)))</f>
        <v>7.9687499999999994E-2</v>
      </c>
      <c r="Y111" s="550">
        <f>IF('Key_Assumptions_&amp;_Inputs'!$J$72="Easy",$AJ$112,IF('Key_Assumptions_&amp;_Inputs'!$J$72="Moderate",$AJ$113,IF('Key_Assumptions_&amp;_Inputs'!$J$72="Difficult",$AJ$114)))</f>
        <v>7.9687499999999994E-2</v>
      </c>
      <c r="Z111" s="550">
        <f>IF('Key_Assumptions_&amp;_Inputs'!$J$72="Easy",$AJ$112,IF('Key_Assumptions_&amp;_Inputs'!$J$72="Moderate",$AJ$113,IF('Key_Assumptions_&amp;_Inputs'!$J$72="Difficult",$AJ$114)))</f>
        <v>7.9687499999999994E-2</v>
      </c>
      <c r="AA111" s="550">
        <f>IF('Key_Assumptions_&amp;_Inputs'!$J$72="Easy",$AJ$112,IF('Key_Assumptions_&amp;_Inputs'!$J$72="Moderate",$AJ$113,IF('Key_Assumptions_&amp;_Inputs'!$J$72="Difficult",$AJ$114)))</f>
        <v>7.9687499999999994E-2</v>
      </c>
      <c r="AB111" s="550">
        <f>IF('Key_Assumptions_&amp;_Inputs'!$J$72="Easy",$AJ$112,IF('Key_Assumptions_&amp;_Inputs'!$J$72="Moderate",$AJ$113,IF('Key_Assumptions_&amp;_Inputs'!$J$72="Difficult",$AJ$114)))</f>
        <v>7.9687499999999994E-2</v>
      </c>
      <c r="AC111" s="551">
        <f>IF('Key_Assumptions_&amp;_Inputs'!$J$72="Easy",$AJ$112,IF('Key_Assumptions_&amp;_Inputs'!$J$72="Moderate",$AJ$113,IF('Key_Assumptions_&amp;_Inputs'!$J$72="Difficult",$AJ$114)))</f>
        <v>7.9687499999999994E-2</v>
      </c>
      <c r="AD111" s="458"/>
      <c r="AE111" s="574" t="s">
        <v>223</v>
      </c>
      <c r="AF111" s="575" t="s">
        <v>224</v>
      </c>
      <c r="AG111" s="574" t="s">
        <v>223</v>
      </c>
      <c r="AH111" s="575" t="s">
        <v>224</v>
      </c>
      <c r="AI111" s="574" t="s">
        <v>223</v>
      </c>
      <c r="AJ111" s="575" t="s">
        <v>224</v>
      </c>
      <c r="AK111" s="505"/>
      <c r="AL111" s="505"/>
      <c r="AM111" s="549" t="s">
        <v>230</v>
      </c>
      <c r="AN111" s="549" t="s">
        <v>230</v>
      </c>
      <c r="AO111" s="549" t="s">
        <v>230</v>
      </c>
      <c r="AP111" s="505"/>
      <c r="AQ111" s="505"/>
      <c r="AR111" s="458"/>
      <c r="AS111" s="458"/>
      <c r="AT111" s="458"/>
      <c r="AU111" s="458"/>
      <c r="AV111" s="488"/>
      <c r="AW111" s="488"/>
      <c r="AX111" s="488"/>
      <c r="AY111" s="488"/>
      <c r="AZ111" s="488"/>
      <c r="BA111" s="488"/>
      <c r="BB111" s="488"/>
      <c r="BC111" s="488"/>
      <c r="BD111" s="488"/>
      <c r="BE111" s="488"/>
      <c r="BF111" s="488"/>
      <c r="BG111" s="488"/>
      <c r="BH111" s="488"/>
      <c r="BI111" s="488"/>
    </row>
    <row r="112" spans="2:68" x14ac:dyDescent="0.25">
      <c r="B112" s="576" t="s">
        <v>215</v>
      </c>
      <c r="C112" s="577"/>
      <c r="D112" s="534"/>
      <c r="E112" s="550">
        <f t="shared" ref="E112:AC112" si="92">E84*E110</f>
        <v>13.65</v>
      </c>
      <c r="F112" s="550">
        <f t="shared" si="92"/>
        <v>10.237500000000001</v>
      </c>
      <c r="G112" s="550">
        <f t="shared" si="92"/>
        <v>8.7018749999999994</v>
      </c>
      <c r="H112" s="550">
        <f t="shared" si="92"/>
        <v>4.3509374999999997</v>
      </c>
      <c r="I112" s="550">
        <f t="shared" si="92"/>
        <v>2.1754687499999998</v>
      </c>
      <c r="J112" s="550">
        <f t="shared" si="92"/>
        <v>2.1754687499999998</v>
      </c>
      <c r="K112" s="550">
        <f t="shared" si="92"/>
        <v>2.1754687499999998</v>
      </c>
      <c r="L112" s="550">
        <f t="shared" si="92"/>
        <v>2.1754687499999998</v>
      </c>
      <c r="M112" s="550">
        <f t="shared" si="92"/>
        <v>2.1754687499999998</v>
      </c>
      <c r="N112" s="550">
        <f t="shared" si="92"/>
        <v>2.1754687499999998</v>
      </c>
      <c r="O112" s="550">
        <f t="shared" si="92"/>
        <v>2.1754687499999998</v>
      </c>
      <c r="P112" s="550">
        <f t="shared" si="92"/>
        <v>2.1754687499999998</v>
      </c>
      <c r="Q112" s="550">
        <f t="shared" si="92"/>
        <v>2.1754687499999998</v>
      </c>
      <c r="R112" s="550">
        <f t="shared" si="92"/>
        <v>2.1754687499999998</v>
      </c>
      <c r="S112" s="550">
        <f t="shared" si="92"/>
        <v>2.1754687499999998</v>
      </c>
      <c r="T112" s="550">
        <f t="shared" si="92"/>
        <v>2.1754687499999998</v>
      </c>
      <c r="U112" s="550">
        <f t="shared" si="92"/>
        <v>2.1754687499999998</v>
      </c>
      <c r="V112" s="550">
        <f t="shared" si="92"/>
        <v>2.1754687499999998</v>
      </c>
      <c r="W112" s="550">
        <f t="shared" si="92"/>
        <v>2.1754687499999998</v>
      </c>
      <c r="X112" s="550">
        <f t="shared" si="92"/>
        <v>2.1754687499999998</v>
      </c>
      <c r="Y112" s="550">
        <f t="shared" si="92"/>
        <v>2.1754687499999998</v>
      </c>
      <c r="Z112" s="550">
        <f t="shared" si="92"/>
        <v>2.1754687499999998</v>
      </c>
      <c r="AA112" s="550">
        <f t="shared" si="92"/>
        <v>2.1754687499999998</v>
      </c>
      <c r="AB112" s="550">
        <f t="shared" si="92"/>
        <v>2.1754687499999998</v>
      </c>
      <c r="AC112" s="551">
        <f t="shared" si="92"/>
        <v>2.1754687499999998</v>
      </c>
      <c r="AD112" s="505" t="s">
        <v>217</v>
      </c>
      <c r="AE112" s="567">
        <v>5</v>
      </c>
      <c r="AF112" s="566">
        <f>AE112/60</f>
        <v>8.3333333333333329E-2</v>
      </c>
      <c r="AG112" s="567">
        <f>AE112*(1-$AF$87)</f>
        <v>3.75</v>
      </c>
      <c r="AH112" s="566">
        <f>AG112/60</f>
        <v>6.25E-2</v>
      </c>
      <c r="AI112" s="567">
        <f>AG112*(1-$AG$87)</f>
        <v>3.1875</v>
      </c>
      <c r="AJ112" s="566">
        <f>AI112/60</f>
        <v>5.3124999999999999E-2</v>
      </c>
      <c r="AK112" s="505"/>
      <c r="AL112" s="505"/>
      <c r="AM112" s="318">
        <v>0.08</v>
      </c>
      <c r="AN112" s="578">
        <f>AM112*(1-$AF$87)</f>
        <v>0.06</v>
      </c>
      <c r="AO112" s="578">
        <f>AN112*(1-$AG$87)</f>
        <v>5.0999999999999997E-2</v>
      </c>
      <c r="AP112" s="458"/>
      <c r="AQ112" s="488"/>
      <c r="AR112" s="488"/>
      <c r="AS112" s="488"/>
      <c r="AT112" s="488"/>
      <c r="AU112" s="488"/>
      <c r="AV112" s="488"/>
      <c r="AW112" s="488"/>
      <c r="AX112" s="488"/>
      <c r="AY112" s="488"/>
      <c r="AZ112" s="488"/>
      <c r="BA112" s="488"/>
      <c r="BB112" s="488"/>
      <c r="BC112" s="488"/>
      <c r="BD112" s="488"/>
    </row>
    <row r="113" spans="2:73" x14ac:dyDescent="0.25">
      <c r="B113" s="769" t="s">
        <v>165</v>
      </c>
      <c r="C113" s="770"/>
      <c r="D113" s="534"/>
      <c r="E113" s="550">
        <f>(E111*E112)</f>
        <v>1.70625</v>
      </c>
      <c r="F113" s="550">
        <f t="shared" ref="F113:AC113" si="93">(F111*F112)</f>
        <v>0.95976562500000007</v>
      </c>
      <c r="G113" s="550">
        <f t="shared" si="93"/>
        <v>0.69343066406249987</v>
      </c>
      <c r="H113" s="550">
        <f t="shared" si="93"/>
        <v>0.34671533203124993</v>
      </c>
      <c r="I113" s="550">
        <f t="shared" si="93"/>
        <v>0.17335766601562497</v>
      </c>
      <c r="J113" s="550">
        <f t="shared" si="93"/>
        <v>0.17335766601562497</v>
      </c>
      <c r="K113" s="550">
        <f t="shared" si="93"/>
        <v>0.17335766601562497</v>
      </c>
      <c r="L113" s="550">
        <f t="shared" si="93"/>
        <v>0.17335766601562497</v>
      </c>
      <c r="M113" s="550">
        <f t="shared" si="93"/>
        <v>0.17335766601562497</v>
      </c>
      <c r="N113" s="550">
        <f t="shared" si="93"/>
        <v>0.17335766601562497</v>
      </c>
      <c r="O113" s="550">
        <f t="shared" si="93"/>
        <v>0.17335766601562497</v>
      </c>
      <c r="P113" s="550">
        <f t="shared" si="93"/>
        <v>0.17335766601562497</v>
      </c>
      <c r="Q113" s="550">
        <f t="shared" si="93"/>
        <v>0.17335766601562497</v>
      </c>
      <c r="R113" s="550">
        <f t="shared" si="93"/>
        <v>0.17335766601562497</v>
      </c>
      <c r="S113" s="550">
        <f t="shared" si="93"/>
        <v>0.17335766601562497</v>
      </c>
      <c r="T113" s="550">
        <f t="shared" si="93"/>
        <v>0.17335766601562497</v>
      </c>
      <c r="U113" s="550">
        <f t="shared" si="93"/>
        <v>0.17335766601562497</v>
      </c>
      <c r="V113" s="550">
        <f t="shared" si="93"/>
        <v>0.17335766601562497</v>
      </c>
      <c r="W113" s="550">
        <f t="shared" si="93"/>
        <v>0.17335766601562497</v>
      </c>
      <c r="X113" s="550">
        <f t="shared" si="93"/>
        <v>0.17335766601562497</v>
      </c>
      <c r="Y113" s="550">
        <f t="shared" si="93"/>
        <v>0.17335766601562497</v>
      </c>
      <c r="Z113" s="550">
        <f t="shared" si="93"/>
        <v>0.17335766601562497</v>
      </c>
      <c r="AA113" s="550">
        <f t="shared" si="93"/>
        <v>0.17335766601562497</v>
      </c>
      <c r="AB113" s="550">
        <f t="shared" si="93"/>
        <v>0.17335766601562497</v>
      </c>
      <c r="AC113" s="551">
        <f t="shared" si="93"/>
        <v>0.17335766601562497</v>
      </c>
      <c r="AD113" s="505" t="s">
        <v>221</v>
      </c>
      <c r="AE113" s="567">
        <v>7.5</v>
      </c>
      <c r="AF113" s="566">
        <f>AE113/60</f>
        <v>0.125</v>
      </c>
      <c r="AG113" s="567">
        <f t="shared" ref="AG113:AG114" si="94">AE113*(1-$AF$87)</f>
        <v>5.625</v>
      </c>
      <c r="AH113" s="566">
        <f>AG113/60</f>
        <v>9.375E-2</v>
      </c>
      <c r="AI113" s="567">
        <f t="shared" ref="AI113:AI114" si="95">AG113*(1-$AG$87)</f>
        <v>4.78125</v>
      </c>
      <c r="AJ113" s="566">
        <f>AI113/60</f>
        <v>7.9687499999999994E-2</v>
      </c>
      <c r="AK113" s="505"/>
      <c r="AL113" s="505"/>
      <c r="AM113" s="318">
        <v>0.1</v>
      </c>
      <c r="AN113" s="578">
        <f t="shared" ref="AN113:AN114" si="96">AM113*(1-$AF$87)</f>
        <v>7.5000000000000011E-2</v>
      </c>
      <c r="AO113" s="578">
        <f t="shared" ref="AO113:AO114" si="97">AN113*(1-$AG$87)</f>
        <v>6.3750000000000001E-2</v>
      </c>
      <c r="AP113" s="458"/>
      <c r="AQ113" s="488"/>
      <c r="AR113" s="488"/>
      <c r="AS113" s="488"/>
      <c r="AT113" s="488"/>
      <c r="AU113" s="488"/>
      <c r="AV113" s="488"/>
      <c r="AW113" s="488"/>
      <c r="AX113" s="488"/>
      <c r="AY113" s="488"/>
      <c r="AZ113" s="488"/>
      <c r="BA113" s="488"/>
      <c r="BB113" s="488"/>
      <c r="BC113" s="488"/>
      <c r="BD113" s="488"/>
    </row>
    <row r="114" spans="2:73" ht="15.75" thickBot="1" x14ac:dyDescent="0.3">
      <c r="B114" s="771" t="s">
        <v>132</v>
      </c>
      <c r="C114" s="772"/>
      <c r="D114" s="554"/>
      <c r="E114" s="525">
        <f>$D$13</f>
        <v>50</v>
      </c>
      <c r="F114" s="555">
        <f>E114*(1+$D$14)</f>
        <v>51.5</v>
      </c>
      <c r="G114" s="555">
        <f t="shared" ref="G114:AC114" si="98">F114*(1+$D$14)</f>
        <v>53.045000000000002</v>
      </c>
      <c r="H114" s="555">
        <f t="shared" si="98"/>
        <v>54.63635</v>
      </c>
      <c r="I114" s="555">
        <f t="shared" si="98"/>
        <v>56.275440500000002</v>
      </c>
      <c r="J114" s="555">
        <f t="shared" si="98"/>
        <v>57.963703715000001</v>
      </c>
      <c r="K114" s="555">
        <f t="shared" si="98"/>
        <v>59.702614826450002</v>
      </c>
      <c r="L114" s="555">
        <f t="shared" si="98"/>
        <v>61.493693271243501</v>
      </c>
      <c r="M114" s="555">
        <f t="shared" si="98"/>
        <v>63.338504069380811</v>
      </c>
      <c r="N114" s="555">
        <f t="shared" si="98"/>
        <v>65.238659191462233</v>
      </c>
      <c r="O114" s="555">
        <f t="shared" si="98"/>
        <v>67.195818967206108</v>
      </c>
      <c r="P114" s="555">
        <f t="shared" si="98"/>
        <v>69.211693536222299</v>
      </c>
      <c r="Q114" s="555">
        <f t="shared" si="98"/>
        <v>71.288044342308964</v>
      </c>
      <c r="R114" s="555">
        <f t="shared" si="98"/>
        <v>73.42668567257823</v>
      </c>
      <c r="S114" s="555">
        <f t="shared" si="98"/>
        <v>75.629486242755576</v>
      </c>
      <c r="T114" s="555">
        <f t="shared" si="98"/>
        <v>77.898370830038246</v>
      </c>
      <c r="U114" s="555">
        <f t="shared" si="98"/>
        <v>80.235321954939394</v>
      </c>
      <c r="V114" s="555">
        <f t="shared" si="98"/>
        <v>82.642381613587574</v>
      </c>
      <c r="W114" s="555">
        <f t="shared" si="98"/>
        <v>85.121653061995204</v>
      </c>
      <c r="X114" s="555">
        <f t="shared" si="98"/>
        <v>87.675302653855056</v>
      </c>
      <c r="Y114" s="555">
        <f t="shared" si="98"/>
        <v>90.305561733470711</v>
      </c>
      <c r="Z114" s="555">
        <f t="shared" si="98"/>
        <v>93.014728585474828</v>
      </c>
      <c r="AA114" s="555">
        <f t="shared" si="98"/>
        <v>95.805170443039074</v>
      </c>
      <c r="AB114" s="555">
        <f t="shared" si="98"/>
        <v>98.679325556330255</v>
      </c>
      <c r="AC114" s="556">
        <f t="shared" si="98"/>
        <v>101.63970532302017</v>
      </c>
      <c r="AD114" s="505" t="s">
        <v>229</v>
      </c>
      <c r="AE114" s="569">
        <v>10</v>
      </c>
      <c r="AF114" s="568">
        <f>AE114/60</f>
        <v>0.16666666666666666</v>
      </c>
      <c r="AG114" s="569">
        <f t="shared" si="94"/>
        <v>7.5</v>
      </c>
      <c r="AH114" s="568">
        <f>AG114/60</f>
        <v>0.125</v>
      </c>
      <c r="AI114" s="569">
        <f t="shared" si="95"/>
        <v>6.375</v>
      </c>
      <c r="AJ114" s="568">
        <f>AI114/60</f>
        <v>0.10625</v>
      </c>
      <c r="AK114" s="505"/>
      <c r="AL114" s="505"/>
      <c r="AM114" s="319">
        <v>0.12</v>
      </c>
      <c r="AN114" s="579">
        <f t="shared" si="96"/>
        <v>0.09</v>
      </c>
      <c r="AO114" s="579">
        <f t="shared" si="97"/>
        <v>7.6499999999999999E-2</v>
      </c>
      <c r="AP114" s="458"/>
      <c r="AQ114" s="488"/>
      <c r="AR114" s="488"/>
      <c r="AS114" s="488"/>
      <c r="AT114" s="488"/>
      <c r="AU114" s="488"/>
      <c r="AV114" s="488"/>
      <c r="AW114" s="488"/>
      <c r="AX114" s="488"/>
      <c r="AY114" s="488"/>
      <c r="AZ114" s="488"/>
      <c r="BA114" s="488"/>
      <c r="BB114" s="488"/>
      <c r="BC114" s="488"/>
      <c r="BD114" s="488"/>
    </row>
    <row r="115" spans="2:73" s="491" customFormat="1" ht="16.5" thickTop="1" thickBot="1" x14ac:dyDescent="0.3">
      <c r="B115" s="762" t="s">
        <v>159</v>
      </c>
      <c r="C115" s="763"/>
      <c r="D115" s="558"/>
      <c r="E115" s="560">
        <f>E113*E114*12</f>
        <v>1023.75</v>
      </c>
      <c r="F115" s="560">
        <f t="shared" ref="F115:AC115" si="99">F113*F114*12</f>
        <v>593.13515625000002</v>
      </c>
      <c r="G115" s="560">
        <f t="shared" si="99"/>
        <v>441.39635490234366</v>
      </c>
      <c r="H115" s="560">
        <f t="shared" si="99"/>
        <v>227.31912277470701</v>
      </c>
      <c r="I115" s="560">
        <f t="shared" si="99"/>
        <v>117.06934822897409</v>
      </c>
      <c r="J115" s="560">
        <f t="shared" si="99"/>
        <v>120.58142867584331</v>
      </c>
      <c r="K115" s="560">
        <f t="shared" si="99"/>
        <v>124.19887153611862</v>
      </c>
      <c r="L115" s="560">
        <f t="shared" si="99"/>
        <v>127.92483768220218</v>
      </c>
      <c r="M115" s="560">
        <f t="shared" si="99"/>
        <v>131.76258281266826</v>
      </c>
      <c r="N115" s="560">
        <f t="shared" si="99"/>
        <v>135.71546029704831</v>
      </c>
      <c r="O115" s="560">
        <f t="shared" si="99"/>
        <v>139.78692410595977</v>
      </c>
      <c r="P115" s="560">
        <f t="shared" si="99"/>
        <v>143.98053182913856</v>
      </c>
      <c r="Q115" s="560">
        <f t="shared" si="99"/>
        <v>148.29994778401272</v>
      </c>
      <c r="R115" s="560">
        <f t="shared" si="99"/>
        <v>152.7489462175331</v>
      </c>
      <c r="S115" s="560">
        <f t="shared" si="99"/>
        <v>157.33141460405909</v>
      </c>
      <c r="T115" s="560">
        <f t="shared" si="99"/>
        <v>162.05135704218088</v>
      </c>
      <c r="U115" s="560">
        <f t="shared" si="99"/>
        <v>166.91289775344629</v>
      </c>
      <c r="V115" s="560">
        <f t="shared" si="99"/>
        <v>171.92028468604968</v>
      </c>
      <c r="W115" s="560">
        <f t="shared" si="99"/>
        <v>177.07789322663118</v>
      </c>
      <c r="X115" s="560">
        <f t="shared" si="99"/>
        <v>182.39023002343009</v>
      </c>
      <c r="Y115" s="560">
        <f t="shared" si="99"/>
        <v>187.861936924133</v>
      </c>
      <c r="Z115" s="560">
        <f t="shared" si="99"/>
        <v>193.49779503185698</v>
      </c>
      <c r="AA115" s="560">
        <f t="shared" si="99"/>
        <v>199.30272888281269</v>
      </c>
      <c r="AB115" s="560">
        <f t="shared" si="99"/>
        <v>205.28181074929711</v>
      </c>
      <c r="AC115" s="561">
        <f t="shared" si="99"/>
        <v>211.44026507177603</v>
      </c>
      <c r="AD115" s="505"/>
      <c r="AE115" s="452"/>
      <c r="AF115" s="452"/>
      <c r="AG115" s="505"/>
      <c r="AH115" s="505"/>
      <c r="AI115" s="505"/>
      <c r="AJ115" s="505"/>
      <c r="AK115" s="505"/>
      <c r="AL115" s="562"/>
      <c r="AM115" s="562"/>
      <c r="AN115" s="562"/>
      <c r="AO115" s="562"/>
      <c r="AP115" s="562"/>
      <c r="AQ115" s="562"/>
      <c r="AR115" s="562"/>
      <c r="AS115" s="562"/>
      <c r="AT115" s="562"/>
      <c r="AU115" s="562"/>
      <c r="AV115" s="562"/>
      <c r="AW115" s="562"/>
      <c r="AX115" s="562"/>
      <c r="AY115" s="531"/>
      <c r="AZ115" s="531"/>
      <c r="BA115" s="531"/>
      <c r="BB115" s="531"/>
      <c r="BC115" s="532"/>
      <c r="BD115" s="532"/>
      <c r="BE115" s="532"/>
      <c r="BF115" s="532"/>
      <c r="BG115" s="532"/>
      <c r="BH115" s="532"/>
      <c r="BI115" s="532"/>
      <c r="BJ115" s="532"/>
      <c r="BK115" s="532"/>
      <c r="BL115" s="532"/>
      <c r="BM115" s="532"/>
      <c r="BN115" s="532"/>
      <c r="BO115" s="532"/>
      <c r="BP115" s="532"/>
    </row>
    <row r="116" spans="2:73" s="491" customFormat="1" ht="15.75" thickBot="1" x14ac:dyDescent="0.3">
      <c r="B116" s="573"/>
      <c r="C116" s="573"/>
      <c r="D116" s="573"/>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62"/>
      <c r="AE116" s="538" t="s">
        <v>231</v>
      </c>
      <c r="AF116" s="515"/>
      <c r="AG116" s="562"/>
      <c r="AH116" s="562"/>
      <c r="AI116" s="562"/>
      <c r="AK116" s="515"/>
      <c r="AL116" s="562"/>
      <c r="AM116" s="538" t="s">
        <v>232</v>
      </c>
      <c r="AN116" s="505"/>
      <c r="AO116" s="562"/>
      <c r="AP116" s="562"/>
      <c r="AQ116" s="562"/>
      <c r="AR116" s="562"/>
      <c r="AS116" s="562"/>
      <c r="AT116" s="562"/>
      <c r="AU116" s="562"/>
      <c r="AV116" s="562"/>
      <c r="AW116" s="562"/>
      <c r="AX116" s="562"/>
      <c r="AY116" s="531"/>
      <c r="AZ116" s="531"/>
      <c r="BA116" s="531"/>
      <c r="BB116" s="531"/>
      <c r="BC116" s="532"/>
      <c r="BD116" s="532"/>
      <c r="BE116" s="532"/>
      <c r="BF116" s="532"/>
      <c r="BG116" s="532"/>
      <c r="BH116" s="532"/>
      <c r="BI116" s="532"/>
      <c r="BJ116" s="532"/>
      <c r="BK116" s="532"/>
      <c r="BL116" s="532"/>
      <c r="BM116" s="532"/>
      <c r="BN116" s="532"/>
      <c r="BO116" s="532"/>
      <c r="BP116" s="532"/>
    </row>
    <row r="117" spans="2:73" x14ac:dyDescent="0.25">
      <c r="B117" s="757" t="s">
        <v>166</v>
      </c>
      <c r="C117" s="758"/>
      <c r="D117" s="761"/>
      <c r="E117" s="518"/>
      <c r="F117" s="518"/>
      <c r="G117" s="518"/>
      <c r="H117" s="518"/>
      <c r="I117" s="518"/>
      <c r="J117" s="518"/>
      <c r="K117" s="518"/>
      <c r="L117" s="518"/>
      <c r="M117" s="518"/>
      <c r="N117" s="518"/>
      <c r="O117" s="518"/>
      <c r="P117" s="518"/>
      <c r="Q117" s="518"/>
      <c r="R117" s="518"/>
      <c r="S117" s="518"/>
      <c r="T117" s="518"/>
      <c r="U117" s="518"/>
      <c r="V117" s="518"/>
      <c r="W117" s="518"/>
      <c r="X117" s="518"/>
      <c r="Y117" s="518"/>
      <c r="Z117" s="518"/>
      <c r="AA117" s="518"/>
      <c r="AB117" s="518"/>
      <c r="AC117" s="520"/>
      <c r="AD117" s="505"/>
      <c r="AE117" s="714" t="s">
        <v>225</v>
      </c>
      <c r="AF117" s="715"/>
      <c r="AG117" s="712" t="s">
        <v>226</v>
      </c>
      <c r="AH117" s="713"/>
      <c r="AI117" s="712" t="s">
        <v>235</v>
      </c>
      <c r="AJ117" s="713"/>
      <c r="AK117" s="505"/>
      <c r="AL117" s="505"/>
      <c r="AM117" s="714" t="s">
        <v>225</v>
      </c>
      <c r="AN117" s="715"/>
      <c r="AO117" s="712" t="s">
        <v>226</v>
      </c>
      <c r="AP117" s="713"/>
      <c r="AQ117" s="712" t="s">
        <v>235</v>
      </c>
      <c r="AR117" s="713"/>
      <c r="AS117" s="505"/>
      <c r="AT117" s="505"/>
      <c r="AU117" s="505"/>
      <c r="AV117" s="505"/>
      <c r="AW117" s="505"/>
      <c r="AX117" s="505"/>
      <c r="AY117" s="505"/>
      <c r="AZ117" s="505"/>
      <c r="BA117" s="505"/>
      <c r="BB117" s="505"/>
      <c r="BC117" s="505"/>
      <c r="BD117" s="458"/>
      <c r="BE117" s="458"/>
      <c r="BF117" s="458"/>
      <c r="BG117" s="458"/>
      <c r="BH117" s="488"/>
      <c r="BI117" s="488"/>
      <c r="BJ117" s="488"/>
      <c r="BK117" s="488"/>
      <c r="BL117" s="488"/>
      <c r="BM117" s="488"/>
      <c r="BN117" s="488"/>
      <c r="BO117" s="488"/>
      <c r="BP117" s="488"/>
      <c r="BQ117" s="488"/>
      <c r="BR117" s="488"/>
      <c r="BS117" s="488"/>
      <c r="BT117" s="488"/>
      <c r="BU117" s="488"/>
    </row>
    <row r="118" spans="2:73" x14ac:dyDescent="0.25">
      <c r="B118" s="769" t="s">
        <v>167</v>
      </c>
      <c r="C118" s="770"/>
      <c r="D118" s="534"/>
      <c r="E118" s="550">
        <f>IF('Key_Assumptions_&amp;_Inputs'!$J$72="Easy",(E84*AF119),IF('Key_Assumptions_&amp;_Inputs'!$J$72="Moderate",(E84*AF120),IF('Key_Assumptions_&amp;_Inputs'!$J$72="Difficult",E84*AF121)))</f>
        <v>9.1</v>
      </c>
      <c r="F118" s="550">
        <f>IF('Key_Assumptions_&amp;_Inputs'!$J$72="Easy",(F84*AH119),IF('Key_Assumptions_&amp;_Inputs'!$J$72="Moderate",(F84*AH120),IF('Key_Assumptions_&amp;_Inputs'!$J$72="Difficult",F84*AH121)))</f>
        <v>6.8250000000000002</v>
      </c>
      <c r="G118" s="550">
        <f>IF('Key_Assumptions_&amp;_Inputs'!$J$72="Easy",(G84*$AJ$119),IF('Key_Assumptions_&amp;_Inputs'!$J$72="Moderate",(G84*$AJ$120),IF('Key_Assumptions_&amp;_Inputs'!$J$72="Difficult",G84*$AJ$121)))</f>
        <v>5.8012499999999996</v>
      </c>
      <c r="H118" s="550">
        <f>IF('Key_Assumptions_&amp;_Inputs'!$J$72="Easy",(H84*$AJ$119),IF('Key_Assumptions_&amp;_Inputs'!$J$72="Moderate",(H84*$AJ$120),IF('Key_Assumptions_&amp;_Inputs'!$J$72="Difficult",H84*$AJ$121)))</f>
        <v>5.8012499999999996</v>
      </c>
      <c r="I118" s="550">
        <f>IF('Key_Assumptions_&amp;_Inputs'!$J$72="Easy",(I84*$AJ$119),IF('Key_Assumptions_&amp;_Inputs'!$J$72="Moderate",(I84*$AJ$120),IF('Key_Assumptions_&amp;_Inputs'!$J$72="Difficult",I84*$AJ$121)))</f>
        <v>5.8012499999999996</v>
      </c>
      <c r="J118" s="550">
        <f>IF('Key_Assumptions_&amp;_Inputs'!$J$72="Easy",(J84*$AJ$119),IF('Key_Assumptions_&amp;_Inputs'!$J$72="Moderate",(J84*$AJ$120),IF('Key_Assumptions_&amp;_Inputs'!$J$72="Difficult",J84*$AJ$121)))</f>
        <v>5.8012499999999996</v>
      </c>
      <c r="K118" s="550">
        <f>IF('Key_Assumptions_&amp;_Inputs'!$J$72="Easy",(K84*$AJ$119),IF('Key_Assumptions_&amp;_Inputs'!$J$72="Moderate",(K84*$AJ$120),IF('Key_Assumptions_&amp;_Inputs'!$J$72="Difficult",K84*$AJ$121)))</f>
        <v>5.8012499999999996</v>
      </c>
      <c r="L118" s="550">
        <f>IF('Key_Assumptions_&amp;_Inputs'!$J$72="Easy",(L84*$AJ$119),IF('Key_Assumptions_&amp;_Inputs'!$J$72="Moderate",(L84*$AJ$120),IF('Key_Assumptions_&amp;_Inputs'!$J$72="Difficult",L84*$AJ$121)))</f>
        <v>5.8012499999999996</v>
      </c>
      <c r="M118" s="550">
        <f>IF('Key_Assumptions_&amp;_Inputs'!$J$72="Easy",(M84*$AJ$119),IF('Key_Assumptions_&amp;_Inputs'!$J$72="Moderate",(M84*$AJ$120),IF('Key_Assumptions_&amp;_Inputs'!$J$72="Difficult",M84*$AJ$121)))</f>
        <v>5.8012499999999996</v>
      </c>
      <c r="N118" s="550">
        <f>IF('Key_Assumptions_&amp;_Inputs'!$J$72="Easy",(N84*$AJ$119),IF('Key_Assumptions_&amp;_Inputs'!$J$72="Moderate",(N84*$AJ$120),IF('Key_Assumptions_&amp;_Inputs'!$J$72="Difficult",N84*$AJ$121)))</f>
        <v>5.8012499999999996</v>
      </c>
      <c r="O118" s="550">
        <f>IF('Key_Assumptions_&amp;_Inputs'!$J$72="Easy",(O84*$AJ$119),IF('Key_Assumptions_&amp;_Inputs'!$J$72="Moderate",(O84*$AJ$120),IF('Key_Assumptions_&amp;_Inputs'!$J$72="Difficult",O84*$AJ$121)))</f>
        <v>5.8012499999999996</v>
      </c>
      <c r="P118" s="550">
        <f>IF('Key_Assumptions_&amp;_Inputs'!$J$72="Easy",(P84*$AJ$119),IF('Key_Assumptions_&amp;_Inputs'!$J$72="Moderate",(P84*$AJ$120),IF('Key_Assumptions_&amp;_Inputs'!$J$72="Difficult",P84*$AJ$121)))</f>
        <v>5.8012499999999996</v>
      </c>
      <c r="Q118" s="550">
        <f>IF('Key_Assumptions_&amp;_Inputs'!$J$72="Easy",(Q84*$AJ$119),IF('Key_Assumptions_&amp;_Inputs'!$J$72="Moderate",(Q84*$AJ$120),IF('Key_Assumptions_&amp;_Inputs'!$J$72="Difficult",Q84*$AJ$121)))</f>
        <v>5.8012499999999996</v>
      </c>
      <c r="R118" s="550">
        <f>IF('Key_Assumptions_&amp;_Inputs'!$J$72="Easy",(R84*$AJ$119),IF('Key_Assumptions_&amp;_Inputs'!$J$72="Moderate",(R84*$AJ$120),IF('Key_Assumptions_&amp;_Inputs'!$J$72="Difficult",R84*$AJ$121)))</f>
        <v>5.8012499999999996</v>
      </c>
      <c r="S118" s="550">
        <f>IF('Key_Assumptions_&amp;_Inputs'!$J$72="Easy",(S84*$AJ$119),IF('Key_Assumptions_&amp;_Inputs'!$J$72="Moderate",(S84*$AJ$120),IF('Key_Assumptions_&amp;_Inputs'!$J$72="Difficult",S84*$AJ$121)))</f>
        <v>5.8012499999999996</v>
      </c>
      <c r="T118" s="550">
        <f>IF('Key_Assumptions_&amp;_Inputs'!$J$72="Easy",(T84*$AJ$119),IF('Key_Assumptions_&amp;_Inputs'!$J$72="Moderate",(T84*$AJ$120),IF('Key_Assumptions_&amp;_Inputs'!$J$72="Difficult",T84*$AJ$121)))</f>
        <v>5.8012499999999996</v>
      </c>
      <c r="U118" s="550">
        <f>IF('Key_Assumptions_&amp;_Inputs'!$J$72="Easy",(U84*$AJ$119),IF('Key_Assumptions_&amp;_Inputs'!$J$72="Moderate",(U84*$AJ$120),IF('Key_Assumptions_&amp;_Inputs'!$J$72="Difficult",U84*$AJ$121)))</f>
        <v>5.8012499999999996</v>
      </c>
      <c r="V118" s="550">
        <f>IF('Key_Assumptions_&amp;_Inputs'!$J$72="Easy",(V84*$AJ$119),IF('Key_Assumptions_&amp;_Inputs'!$J$72="Moderate",(V84*$AJ$120),IF('Key_Assumptions_&amp;_Inputs'!$J$72="Difficult",V84*$AJ$121)))</f>
        <v>5.8012499999999996</v>
      </c>
      <c r="W118" s="550">
        <f>IF('Key_Assumptions_&amp;_Inputs'!$J$72="Easy",(W84*$AJ$119),IF('Key_Assumptions_&amp;_Inputs'!$J$72="Moderate",(W84*$AJ$120),IF('Key_Assumptions_&amp;_Inputs'!$J$72="Difficult",W84*$AJ$121)))</f>
        <v>5.8012499999999996</v>
      </c>
      <c r="X118" s="550">
        <f>IF('Key_Assumptions_&amp;_Inputs'!$J$72="Easy",(X84*$AJ$119),IF('Key_Assumptions_&amp;_Inputs'!$J$72="Moderate",(X84*$AJ$120),IF('Key_Assumptions_&amp;_Inputs'!$J$72="Difficult",X84*$AJ$121)))</f>
        <v>5.8012499999999996</v>
      </c>
      <c r="Y118" s="550">
        <f>IF('Key_Assumptions_&amp;_Inputs'!$J$72="Easy",(Y84*$AJ$119),IF('Key_Assumptions_&amp;_Inputs'!$J$72="Moderate",(Y84*$AJ$120),IF('Key_Assumptions_&amp;_Inputs'!$J$72="Difficult",Y84*$AJ$121)))</f>
        <v>5.8012499999999996</v>
      </c>
      <c r="Z118" s="550">
        <f>IF('Key_Assumptions_&amp;_Inputs'!$J$72="Easy",(Z84*$AJ$119),IF('Key_Assumptions_&amp;_Inputs'!$J$72="Moderate",(Z84*$AJ$120),IF('Key_Assumptions_&amp;_Inputs'!$J$72="Difficult",Z84*$AJ$121)))</f>
        <v>5.8012499999999996</v>
      </c>
      <c r="AA118" s="550">
        <f>IF('Key_Assumptions_&amp;_Inputs'!$J$72="Easy",(AA84*$AJ$119),IF('Key_Assumptions_&amp;_Inputs'!$J$72="Moderate",(AA84*$AJ$120),IF('Key_Assumptions_&amp;_Inputs'!$J$72="Difficult",AA84*$AJ$121)))</f>
        <v>5.8012499999999996</v>
      </c>
      <c r="AB118" s="550">
        <f>IF('Key_Assumptions_&amp;_Inputs'!$J$72="Easy",(AB84*$AJ$119),IF('Key_Assumptions_&amp;_Inputs'!$J$72="Moderate",(AB84*$AJ$120),IF('Key_Assumptions_&amp;_Inputs'!$J$72="Difficult",AB84*$AJ$121)))</f>
        <v>5.8012499999999996</v>
      </c>
      <c r="AC118" s="551">
        <f>IF('Key_Assumptions_&amp;_Inputs'!$J$72="Easy",(AC84*$AJ$119),IF('Key_Assumptions_&amp;_Inputs'!$J$72="Moderate",(AC84*$AJ$120),IF('Key_Assumptions_&amp;_Inputs'!$J$72="Difficult",AC84*$AJ$121)))</f>
        <v>5.8012499999999996</v>
      </c>
      <c r="AD118" s="505"/>
      <c r="AE118" s="574" t="s">
        <v>223</v>
      </c>
      <c r="AF118" s="575" t="s">
        <v>224</v>
      </c>
      <c r="AG118" s="574" t="s">
        <v>223</v>
      </c>
      <c r="AH118" s="575" t="s">
        <v>224</v>
      </c>
      <c r="AI118" s="574" t="s">
        <v>223</v>
      </c>
      <c r="AJ118" s="575" t="s">
        <v>224</v>
      </c>
      <c r="AK118" s="505"/>
      <c r="AL118" s="505"/>
      <c r="AM118" s="574" t="s">
        <v>223</v>
      </c>
      <c r="AN118" s="575" t="s">
        <v>224</v>
      </c>
      <c r="AO118" s="574" t="s">
        <v>223</v>
      </c>
      <c r="AP118" s="575" t="s">
        <v>224</v>
      </c>
      <c r="AQ118" s="574" t="s">
        <v>223</v>
      </c>
      <c r="AR118" s="575" t="s">
        <v>224</v>
      </c>
      <c r="AS118" s="505"/>
      <c r="AT118" s="505"/>
      <c r="AU118" s="505"/>
      <c r="AV118" s="505"/>
      <c r="AW118" s="505"/>
      <c r="AX118" s="505"/>
      <c r="AY118" s="505"/>
      <c r="AZ118" s="505"/>
      <c r="BA118" s="505"/>
      <c r="BB118" s="505"/>
      <c r="BC118" s="505"/>
      <c r="BD118" s="458"/>
      <c r="BE118" s="458"/>
      <c r="BF118" s="458"/>
      <c r="BG118" s="458"/>
      <c r="BH118" s="488"/>
      <c r="BI118" s="488"/>
      <c r="BJ118" s="488"/>
      <c r="BK118" s="488"/>
      <c r="BL118" s="488"/>
      <c r="BM118" s="488"/>
      <c r="BN118" s="488"/>
      <c r="BO118" s="488"/>
      <c r="BP118" s="488"/>
      <c r="BQ118" s="488"/>
      <c r="BR118" s="488"/>
      <c r="BS118" s="488"/>
      <c r="BT118" s="488"/>
      <c r="BU118" s="488"/>
    </row>
    <row r="119" spans="2:73" x14ac:dyDescent="0.25">
      <c r="B119" s="769" t="s">
        <v>228</v>
      </c>
      <c r="C119" s="770"/>
      <c r="D119" s="534"/>
      <c r="E119" s="550">
        <f>IF('Key_Assumptions_&amp;_Inputs'!$J$72="Easy",(E84*AN119),IF('Key_Assumptions_&amp;_Inputs'!$J$72="Moderate",(E84*AN120),IF('Key_Assumptions_&amp;_Inputs'!$J$72="Difficult",E84*AN121)))</f>
        <v>11.375</v>
      </c>
      <c r="F119" s="550">
        <f>IF('Key_Assumptions_&amp;_Inputs'!$J$72="Easy",(F84*AP119),IF('Key_Assumptions_&amp;_Inputs'!$J$72="Moderate",(F84*AP120),IF('Key_Assumptions_&amp;_Inputs'!$J$72="Difficult",F84*AP121)))</f>
        <v>8.53125</v>
      </c>
      <c r="G119" s="550">
        <f>IF('Key_Assumptions_&amp;_Inputs'!$J$72="Easy",(G84*$AR$119),IF('Key_Assumptions_&amp;_Inputs'!$J$72="Moderate",(G84*$AR$120),IF('Key_Assumptions_&amp;_Inputs'!$J$72="Difficult",G84*$AR$121)))</f>
        <v>7.2515624999999995</v>
      </c>
      <c r="H119" s="550">
        <f>IF('Key_Assumptions_&amp;_Inputs'!$J$72="Easy",(H84*$AR$119),IF('Key_Assumptions_&amp;_Inputs'!$J$72="Moderate",(H84*$AR$120),IF('Key_Assumptions_&amp;_Inputs'!$J$72="Difficult",H84*$AR$121)))</f>
        <v>7.2515624999999995</v>
      </c>
      <c r="I119" s="550">
        <f>IF('Key_Assumptions_&amp;_Inputs'!$J$72="Easy",(I84*$AR$119),IF('Key_Assumptions_&amp;_Inputs'!$J$72="Moderate",(I84*$AR$120),IF('Key_Assumptions_&amp;_Inputs'!$J$72="Difficult",I84*$AR$121)))</f>
        <v>7.2515624999999995</v>
      </c>
      <c r="J119" s="550">
        <f>IF('Key_Assumptions_&amp;_Inputs'!$J$72="Easy",(J84*$AR$119),IF('Key_Assumptions_&amp;_Inputs'!$J$72="Moderate",(J84*$AR$120),IF('Key_Assumptions_&amp;_Inputs'!$J$72="Difficult",J84*$AR$121)))</f>
        <v>7.2515624999999995</v>
      </c>
      <c r="K119" s="550">
        <f>IF('Key_Assumptions_&amp;_Inputs'!$J$72="Easy",(K84*$AR$119),IF('Key_Assumptions_&amp;_Inputs'!$J$72="Moderate",(K84*$AR$120),IF('Key_Assumptions_&amp;_Inputs'!$J$72="Difficult",K84*$AR$121)))</f>
        <v>7.2515624999999995</v>
      </c>
      <c r="L119" s="550">
        <f>IF('Key_Assumptions_&amp;_Inputs'!$J$72="Easy",(L84*$AR$119),IF('Key_Assumptions_&amp;_Inputs'!$J$72="Moderate",(L84*$AR$120),IF('Key_Assumptions_&amp;_Inputs'!$J$72="Difficult",L84*$AR$121)))</f>
        <v>7.2515624999999995</v>
      </c>
      <c r="M119" s="550">
        <f>IF('Key_Assumptions_&amp;_Inputs'!$J$72="Easy",(M84*$AR$119),IF('Key_Assumptions_&amp;_Inputs'!$J$72="Moderate",(M84*$AR$120),IF('Key_Assumptions_&amp;_Inputs'!$J$72="Difficult",M84*$AR$121)))</f>
        <v>7.2515624999999995</v>
      </c>
      <c r="N119" s="550">
        <f>IF('Key_Assumptions_&amp;_Inputs'!$J$72="Easy",(N84*$AR$119),IF('Key_Assumptions_&amp;_Inputs'!$J$72="Moderate",(N84*$AR$120),IF('Key_Assumptions_&amp;_Inputs'!$J$72="Difficult",N84*$AR$121)))</f>
        <v>7.2515624999999995</v>
      </c>
      <c r="O119" s="550">
        <f>IF('Key_Assumptions_&amp;_Inputs'!$J$72="Easy",(O84*$AR$119),IF('Key_Assumptions_&amp;_Inputs'!$J$72="Moderate",(O84*$AR$120),IF('Key_Assumptions_&amp;_Inputs'!$J$72="Difficult",O84*$AR$121)))</f>
        <v>7.2515624999999995</v>
      </c>
      <c r="P119" s="550">
        <f>IF('Key_Assumptions_&amp;_Inputs'!$J$72="Easy",(P84*$AR$119),IF('Key_Assumptions_&amp;_Inputs'!$J$72="Moderate",(P84*$AR$120),IF('Key_Assumptions_&amp;_Inputs'!$J$72="Difficult",P84*$AR$121)))</f>
        <v>7.2515624999999995</v>
      </c>
      <c r="Q119" s="550">
        <f>IF('Key_Assumptions_&amp;_Inputs'!$J$72="Easy",(Q84*$AR$119),IF('Key_Assumptions_&amp;_Inputs'!$J$72="Moderate",(Q84*$AR$120),IF('Key_Assumptions_&amp;_Inputs'!$J$72="Difficult",Q84*$AR$121)))</f>
        <v>7.2515624999999995</v>
      </c>
      <c r="R119" s="550">
        <f>IF('Key_Assumptions_&amp;_Inputs'!$J$72="Easy",(R84*$AR$119),IF('Key_Assumptions_&amp;_Inputs'!$J$72="Moderate",(R84*$AR$120),IF('Key_Assumptions_&amp;_Inputs'!$J$72="Difficult",R84*$AR$121)))</f>
        <v>7.2515624999999995</v>
      </c>
      <c r="S119" s="550">
        <f>IF('Key_Assumptions_&amp;_Inputs'!$J$72="Easy",(S84*$AR$119),IF('Key_Assumptions_&amp;_Inputs'!$J$72="Moderate",(S84*$AR$120),IF('Key_Assumptions_&amp;_Inputs'!$J$72="Difficult",S84*$AR$121)))</f>
        <v>7.2515624999999995</v>
      </c>
      <c r="T119" s="550">
        <f>IF('Key_Assumptions_&amp;_Inputs'!$J$72="Easy",(T84*$AR$119),IF('Key_Assumptions_&amp;_Inputs'!$J$72="Moderate",(T84*$AR$120),IF('Key_Assumptions_&amp;_Inputs'!$J$72="Difficult",T84*$AR$121)))</f>
        <v>7.2515624999999995</v>
      </c>
      <c r="U119" s="550">
        <f>IF('Key_Assumptions_&amp;_Inputs'!$J$72="Easy",(U84*$AR$119),IF('Key_Assumptions_&amp;_Inputs'!$J$72="Moderate",(U84*$AR$120),IF('Key_Assumptions_&amp;_Inputs'!$J$72="Difficult",U84*$AR$121)))</f>
        <v>7.2515624999999995</v>
      </c>
      <c r="V119" s="550">
        <f>IF('Key_Assumptions_&amp;_Inputs'!$J$72="Easy",(V84*$AR$119),IF('Key_Assumptions_&amp;_Inputs'!$J$72="Moderate",(V84*$AR$120),IF('Key_Assumptions_&amp;_Inputs'!$J$72="Difficult",V84*$AR$121)))</f>
        <v>7.2515624999999995</v>
      </c>
      <c r="W119" s="550">
        <f>IF('Key_Assumptions_&amp;_Inputs'!$J$72="Easy",(W84*$AR$119),IF('Key_Assumptions_&amp;_Inputs'!$J$72="Moderate",(W84*$AR$120),IF('Key_Assumptions_&amp;_Inputs'!$J$72="Difficult",W84*$AR$121)))</f>
        <v>7.2515624999999995</v>
      </c>
      <c r="X119" s="550">
        <f>IF('Key_Assumptions_&amp;_Inputs'!$J$72="Easy",(X84*$AR$119),IF('Key_Assumptions_&amp;_Inputs'!$J$72="Moderate",(X84*$AR$120),IF('Key_Assumptions_&amp;_Inputs'!$J$72="Difficult",X84*$AR$121)))</f>
        <v>7.2515624999999995</v>
      </c>
      <c r="Y119" s="550">
        <f>IF('Key_Assumptions_&amp;_Inputs'!$J$72="Easy",(Y84*$AR$119),IF('Key_Assumptions_&amp;_Inputs'!$J$72="Moderate",(Y84*$AR$120),IF('Key_Assumptions_&amp;_Inputs'!$J$72="Difficult",Y84*$AR$121)))</f>
        <v>7.2515624999999995</v>
      </c>
      <c r="Z119" s="550">
        <f>IF('Key_Assumptions_&amp;_Inputs'!$J$72="Easy",(Z84*$AR$119),IF('Key_Assumptions_&amp;_Inputs'!$J$72="Moderate",(Z84*$AR$120),IF('Key_Assumptions_&amp;_Inputs'!$J$72="Difficult",Z84*$AR$121)))</f>
        <v>7.2515624999999995</v>
      </c>
      <c r="AA119" s="550">
        <f>IF('Key_Assumptions_&amp;_Inputs'!$J$72="Easy",(AA84*$AR$119),IF('Key_Assumptions_&amp;_Inputs'!$J$72="Moderate",(AA84*$AR$120),IF('Key_Assumptions_&amp;_Inputs'!$J$72="Difficult",AA84*$AR$121)))</f>
        <v>7.2515624999999995</v>
      </c>
      <c r="AB119" s="550">
        <f>IF('Key_Assumptions_&amp;_Inputs'!$J$72="Easy",(AB84*$AR$119),IF('Key_Assumptions_&amp;_Inputs'!$J$72="Moderate",(AB84*$AR$120),IF('Key_Assumptions_&amp;_Inputs'!$J$72="Difficult",AB84*$AR$121)))</f>
        <v>7.2515624999999995</v>
      </c>
      <c r="AC119" s="551">
        <f>IF('Key_Assumptions_&amp;_Inputs'!$J$72="Easy",(AC84*$AR$119),IF('Key_Assumptions_&amp;_Inputs'!$J$72="Moderate",(AC84*$AR$120),IF('Key_Assumptions_&amp;_Inputs'!$J$72="Difficult",AC84*$AR$121)))</f>
        <v>7.2515624999999995</v>
      </c>
      <c r="AD119" s="505" t="s">
        <v>217</v>
      </c>
      <c r="AE119" s="314">
        <v>3</v>
      </c>
      <c r="AF119" s="566">
        <f>AE119/60</f>
        <v>0.05</v>
      </c>
      <c r="AG119" s="314">
        <f>AE119*(1-$AF$87)</f>
        <v>2.25</v>
      </c>
      <c r="AH119" s="566">
        <f>AG119/60</f>
        <v>3.7499999999999999E-2</v>
      </c>
      <c r="AI119" s="314">
        <f>AG119*(1-$AG$87)</f>
        <v>1.9124999999999999</v>
      </c>
      <c r="AJ119" s="566">
        <f>AI119/60</f>
        <v>3.1875000000000001E-2</v>
      </c>
      <c r="AK119" s="505"/>
      <c r="AL119" s="505" t="s">
        <v>217</v>
      </c>
      <c r="AM119" s="314">
        <v>3</v>
      </c>
      <c r="AN119" s="566">
        <f>AM119/60</f>
        <v>0.05</v>
      </c>
      <c r="AO119" s="314">
        <f>AM119*(1-$AF$87)</f>
        <v>2.25</v>
      </c>
      <c r="AP119" s="566">
        <f>AO119/60</f>
        <v>3.7499999999999999E-2</v>
      </c>
      <c r="AQ119" s="314">
        <f>AO119*(1-$AG$87)</f>
        <v>1.9124999999999999</v>
      </c>
      <c r="AR119" s="566">
        <f>AQ119/60</f>
        <v>3.1875000000000001E-2</v>
      </c>
      <c r="AS119" s="505"/>
      <c r="AT119" s="505"/>
      <c r="AU119" s="505"/>
      <c r="AV119" s="505"/>
      <c r="AW119" s="505"/>
      <c r="AX119" s="505"/>
      <c r="AY119" s="505"/>
      <c r="AZ119" s="505"/>
      <c r="BA119" s="505"/>
      <c r="BB119" s="505"/>
      <c r="BC119" s="505"/>
      <c r="BD119" s="458"/>
      <c r="BE119" s="458"/>
      <c r="BF119" s="458"/>
      <c r="BG119" s="458"/>
      <c r="BH119" s="488"/>
      <c r="BI119" s="488"/>
      <c r="BJ119" s="488"/>
      <c r="BK119" s="488"/>
      <c r="BL119" s="488"/>
      <c r="BM119" s="488"/>
      <c r="BN119" s="488"/>
      <c r="BO119" s="488"/>
      <c r="BP119" s="488"/>
      <c r="BQ119" s="488"/>
      <c r="BR119" s="488"/>
      <c r="BS119" s="488"/>
      <c r="BT119" s="488"/>
      <c r="BU119" s="488"/>
    </row>
    <row r="120" spans="2:73" ht="15.75" thickBot="1" x14ac:dyDescent="0.3">
      <c r="B120" s="771" t="s">
        <v>132</v>
      </c>
      <c r="C120" s="772"/>
      <c r="D120" s="534"/>
      <c r="E120" s="484">
        <f>$D$13</f>
        <v>50</v>
      </c>
      <c r="F120" s="485">
        <f>E120*(1+$D$14)</f>
        <v>51.5</v>
      </c>
      <c r="G120" s="485">
        <f t="shared" ref="G120:AC120" si="100">F120*(1+$D$14)</f>
        <v>53.045000000000002</v>
      </c>
      <c r="H120" s="485">
        <f t="shared" si="100"/>
        <v>54.63635</v>
      </c>
      <c r="I120" s="485">
        <f t="shared" si="100"/>
        <v>56.275440500000002</v>
      </c>
      <c r="J120" s="485">
        <f t="shared" si="100"/>
        <v>57.963703715000001</v>
      </c>
      <c r="K120" s="485">
        <f t="shared" si="100"/>
        <v>59.702614826450002</v>
      </c>
      <c r="L120" s="485">
        <f t="shared" si="100"/>
        <v>61.493693271243501</v>
      </c>
      <c r="M120" s="485">
        <f t="shared" si="100"/>
        <v>63.338504069380811</v>
      </c>
      <c r="N120" s="485">
        <f t="shared" si="100"/>
        <v>65.238659191462233</v>
      </c>
      <c r="O120" s="485">
        <f t="shared" si="100"/>
        <v>67.195818967206108</v>
      </c>
      <c r="P120" s="485">
        <f t="shared" si="100"/>
        <v>69.211693536222299</v>
      </c>
      <c r="Q120" s="485">
        <f t="shared" si="100"/>
        <v>71.288044342308964</v>
      </c>
      <c r="R120" s="485">
        <f t="shared" si="100"/>
        <v>73.42668567257823</v>
      </c>
      <c r="S120" s="485">
        <f t="shared" si="100"/>
        <v>75.629486242755576</v>
      </c>
      <c r="T120" s="485">
        <f t="shared" si="100"/>
        <v>77.898370830038246</v>
      </c>
      <c r="U120" s="485">
        <f t="shared" si="100"/>
        <v>80.235321954939394</v>
      </c>
      <c r="V120" s="485">
        <f t="shared" si="100"/>
        <v>82.642381613587574</v>
      </c>
      <c r="W120" s="485">
        <f t="shared" si="100"/>
        <v>85.121653061995204</v>
      </c>
      <c r="X120" s="485">
        <f t="shared" si="100"/>
        <v>87.675302653855056</v>
      </c>
      <c r="Y120" s="485">
        <f t="shared" si="100"/>
        <v>90.305561733470711</v>
      </c>
      <c r="Z120" s="485">
        <f t="shared" si="100"/>
        <v>93.014728585474828</v>
      </c>
      <c r="AA120" s="485">
        <f t="shared" si="100"/>
        <v>95.805170443039074</v>
      </c>
      <c r="AB120" s="485">
        <f t="shared" si="100"/>
        <v>98.679325556330255</v>
      </c>
      <c r="AC120" s="553">
        <f t="shared" si="100"/>
        <v>101.63970532302017</v>
      </c>
      <c r="AD120" s="505" t="s">
        <v>221</v>
      </c>
      <c r="AE120" s="314">
        <v>4</v>
      </c>
      <c r="AF120" s="566">
        <f>AE120/60</f>
        <v>6.6666666666666666E-2</v>
      </c>
      <c r="AG120" s="314">
        <f t="shared" ref="AG120:AG121" si="101">AE120*(1-$AF$87)</f>
        <v>3</v>
      </c>
      <c r="AH120" s="566">
        <f>AG120/60</f>
        <v>0.05</v>
      </c>
      <c r="AI120" s="314">
        <f t="shared" ref="AI120:AI121" si="102">AG120*(1-$AG$87)</f>
        <v>2.5499999999999998</v>
      </c>
      <c r="AJ120" s="566">
        <f>AI120/60</f>
        <v>4.2499999999999996E-2</v>
      </c>
      <c r="AK120" s="505"/>
      <c r="AL120" s="505" t="s">
        <v>221</v>
      </c>
      <c r="AM120" s="314">
        <v>5</v>
      </c>
      <c r="AN120" s="566">
        <f>AM120/60</f>
        <v>8.3333333333333329E-2</v>
      </c>
      <c r="AO120" s="314">
        <f t="shared" ref="AO120:AO121" si="103">AM120*(1-$AF$87)</f>
        <v>3.75</v>
      </c>
      <c r="AP120" s="566">
        <f>AO120/60</f>
        <v>6.25E-2</v>
      </c>
      <c r="AQ120" s="314">
        <f t="shared" ref="AQ120:AQ121" si="104">AO120*(1-$AG$87)</f>
        <v>3.1875</v>
      </c>
      <c r="AR120" s="566">
        <f>AQ120/60</f>
        <v>5.3124999999999999E-2</v>
      </c>
      <c r="AS120" s="562"/>
      <c r="AT120" s="505"/>
      <c r="AU120" s="505"/>
      <c r="AV120" s="505"/>
      <c r="AW120" s="505"/>
      <c r="AX120" s="505"/>
      <c r="AY120" s="505"/>
      <c r="AZ120" s="505"/>
      <c r="BA120" s="505"/>
      <c r="BB120" s="505"/>
      <c r="BC120" s="505"/>
      <c r="BD120" s="458"/>
      <c r="BE120" s="458"/>
      <c r="BF120" s="458"/>
      <c r="BG120" s="458"/>
      <c r="BH120" s="488"/>
      <c r="BI120" s="488"/>
      <c r="BJ120" s="488"/>
      <c r="BK120" s="488"/>
      <c r="BL120" s="488"/>
      <c r="BM120" s="488"/>
      <c r="BN120" s="488"/>
      <c r="BO120" s="488"/>
      <c r="BP120" s="488"/>
      <c r="BQ120" s="488"/>
      <c r="BR120" s="488"/>
      <c r="BS120" s="488"/>
      <c r="BT120" s="488"/>
      <c r="BU120" s="488"/>
    </row>
    <row r="121" spans="2:73" s="491" customFormat="1" ht="16.5" thickTop="1" thickBot="1" x14ac:dyDescent="0.3">
      <c r="B121" s="762" t="s">
        <v>159</v>
      </c>
      <c r="C121" s="763"/>
      <c r="D121" s="580"/>
      <c r="E121" s="581">
        <f>((E118+E119)*E120)*12</f>
        <v>12285.000000000002</v>
      </c>
      <c r="F121" s="581">
        <f t="shared" ref="F121:AC121" si="105">((F118+F119)*F120)*12</f>
        <v>9490.1624999999985</v>
      </c>
      <c r="G121" s="581">
        <f t="shared" si="105"/>
        <v>8308.6372687499988</v>
      </c>
      <c r="H121" s="581">
        <f t="shared" si="105"/>
        <v>8557.8963868124993</v>
      </c>
      <c r="I121" s="581">
        <f t="shared" si="105"/>
        <v>8814.6332784168735</v>
      </c>
      <c r="J121" s="581">
        <f t="shared" si="105"/>
        <v>9079.0722767693806</v>
      </c>
      <c r="K121" s="581">
        <f t="shared" si="105"/>
        <v>9351.4444450724623</v>
      </c>
      <c r="L121" s="581">
        <f t="shared" si="105"/>
        <v>9631.9877784246346</v>
      </c>
      <c r="M121" s="581">
        <f t="shared" si="105"/>
        <v>9920.9474117773752</v>
      </c>
      <c r="N121" s="581">
        <f t="shared" si="105"/>
        <v>10218.575834130696</v>
      </c>
      <c r="O121" s="581">
        <f t="shared" si="105"/>
        <v>10525.133109154618</v>
      </c>
      <c r="P121" s="581">
        <f t="shared" si="105"/>
        <v>10840.887102429257</v>
      </c>
      <c r="Q121" s="581">
        <f t="shared" si="105"/>
        <v>11166.113715502135</v>
      </c>
      <c r="R121" s="581">
        <f t="shared" si="105"/>
        <v>11501.097126967199</v>
      </c>
      <c r="S121" s="581">
        <f t="shared" si="105"/>
        <v>11846.130040776214</v>
      </c>
      <c r="T121" s="581">
        <f t="shared" si="105"/>
        <v>12201.513941999501</v>
      </c>
      <c r="U121" s="581">
        <f t="shared" si="105"/>
        <v>12567.559360259485</v>
      </c>
      <c r="V121" s="581">
        <f t="shared" si="105"/>
        <v>12944.58614106727</v>
      </c>
      <c r="W121" s="581">
        <f t="shared" si="105"/>
        <v>13332.92372529929</v>
      </c>
      <c r="X121" s="581">
        <f t="shared" si="105"/>
        <v>13732.911437058267</v>
      </c>
      <c r="Y121" s="581">
        <f t="shared" si="105"/>
        <v>14144.898780170015</v>
      </c>
      <c r="Z121" s="581">
        <f t="shared" si="105"/>
        <v>14569.245743575117</v>
      </c>
      <c r="AA121" s="581">
        <f t="shared" si="105"/>
        <v>15006.323115882369</v>
      </c>
      <c r="AB121" s="581">
        <f t="shared" si="105"/>
        <v>15456.512809358841</v>
      </c>
      <c r="AC121" s="582">
        <f t="shared" si="105"/>
        <v>15920.208193639608</v>
      </c>
      <c r="AD121" s="505" t="s">
        <v>229</v>
      </c>
      <c r="AE121" s="315">
        <v>5</v>
      </c>
      <c r="AF121" s="568">
        <f>AE121/60</f>
        <v>8.3333333333333329E-2</v>
      </c>
      <c r="AG121" s="315">
        <f t="shared" si="101"/>
        <v>3.75</v>
      </c>
      <c r="AH121" s="568">
        <f>AG121/60</f>
        <v>6.25E-2</v>
      </c>
      <c r="AI121" s="315">
        <f t="shared" si="102"/>
        <v>3.1875</v>
      </c>
      <c r="AJ121" s="568">
        <f>AI121/60</f>
        <v>5.3124999999999999E-2</v>
      </c>
      <c r="AK121" s="562"/>
      <c r="AL121" s="505" t="s">
        <v>229</v>
      </c>
      <c r="AM121" s="315">
        <v>7</v>
      </c>
      <c r="AN121" s="568">
        <f>AM121/60</f>
        <v>0.11666666666666667</v>
      </c>
      <c r="AO121" s="315">
        <f t="shared" si="103"/>
        <v>5.25</v>
      </c>
      <c r="AP121" s="568">
        <f>AO121/60</f>
        <v>8.7499999999999994E-2</v>
      </c>
      <c r="AQ121" s="315">
        <f t="shared" si="104"/>
        <v>4.4624999999999995</v>
      </c>
      <c r="AR121" s="568">
        <f>AQ121/60</f>
        <v>7.4374999999999997E-2</v>
      </c>
      <c r="AS121" s="505"/>
      <c r="AT121" s="562"/>
      <c r="AU121" s="562"/>
      <c r="AV121" s="562"/>
      <c r="AW121" s="562"/>
      <c r="AX121" s="562"/>
      <c r="AY121" s="562"/>
      <c r="AZ121" s="562"/>
      <c r="BA121" s="562"/>
      <c r="BB121" s="562"/>
      <c r="BC121" s="562"/>
      <c r="BD121" s="531"/>
      <c r="BE121" s="531"/>
      <c r="BF121" s="531"/>
      <c r="BG121" s="531"/>
      <c r="BH121" s="532"/>
      <c r="BI121" s="532"/>
      <c r="BJ121" s="532"/>
      <c r="BK121" s="532"/>
      <c r="BL121" s="532"/>
      <c r="BM121" s="532"/>
      <c r="BN121" s="532"/>
      <c r="BO121" s="532"/>
      <c r="BP121" s="532"/>
      <c r="BQ121" s="532"/>
      <c r="BR121" s="532"/>
      <c r="BS121" s="532"/>
      <c r="BT121" s="532"/>
      <c r="BU121" s="532"/>
    </row>
    <row r="122" spans="2:73" x14ac:dyDescent="0.25">
      <c r="D122" s="377"/>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505"/>
      <c r="AA122" s="505"/>
      <c r="AB122" s="505"/>
      <c r="AC122" s="505"/>
      <c r="AD122" s="505"/>
      <c r="AH122" s="505"/>
      <c r="AI122" s="505"/>
      <c r="AJ122" s="505"/>
      <c r="AK122" s="505"/>
      <c r="AL122" s="505"/>
      <c r="AO122" s="505"/>
      <c r="AP122" s="505"/>
      <c r="AQ122" s="505"/>
      <c r="AR122" s="505"/>
      <c r="AS122" s="505"/>
      <c r="AT122" s="505"/>
      <c r="AU122" s="505"/>
      <c r="AV122" s="505"/>
      <c r="AW122" s="505"/>
      <c r="AX122" s="505"/>
      <c r="AY122" s="458"/>
      <c r="AZ122" s="458"/>
      <c r="BA122" s="458"/>
      <c r="BB122" s="458"/>
      <c r="BC122" s="488"/>
      <c r="BD122" s="488"/>
      <c r="BE122" s="488"/>
      <c r="BF122" s="488"/>
      <c r="BG122" s="488"/>
      <c r="BH122" s="488"/>
      <c r="BI122" s="488"/>
      <c r="BJ122" s="488"/>
      <c r="BK122" s="488"/>
      <c r="BL122" s="488"/>
      <c r="BM122" s="488"/>
      <c r="BN122" s="488"/>
      <c r="BO122" s="488"/>
      <c r="BP122" s="488"/>
    </row>
    <row r="123" spans="2:73" x14ac:dyDescent="0.25">
      <c r="B123" s="766"/>
      <c r="C123" s="766"/>
    </row>
    <row r="124" spans="2:73" x14ac:dyDescent="0.25">
      <c r="E124" s="595"/>
    </row>
  </sheetData>
  <mergeCells count="104">
    <mergeCell ref="B111:C111"/>
    <mergeCell ref="B109:D109"/>
    <mergeCell ref="B123:C123"/>
    <mergeCell ref="B120:C120"/>
    <mergeCell ref="B119:C119"/>
    <mergeCell ref="B121:C121"/>
    <mergeCell ref="B118:C118"/>
    <mergeCell ref="B117:D117"/>
    <mergeCell ref="B113:C113"/>
    <mergeCell ref="B114:C114"/>
    <mergeCell ref="B115:C115"/>
    <mergeCell ref="B97:C97"/>
    <mergeCell ref="B98:C98"/>
    <mergeCell ref="B100:C100"/>
    <mergeCell ref="B101:C101"/>
    <mergeCell ref="B104:C104"/>
    <mergeCell ref="B105:C105"/>
    <mergeCell ref="B106:C106"/>
    <mergeCell ref="B107:C107"/>
    <mergeCell ref="B110:C110"/>
    <mergeCell ref="B73:C73"/>
    <mergeCell ref="B74:C74"/>
    <mergeCell ref="B75:C75"/>
    <mergeCell ref="B76:C76"/>
    <mergeCell ref="B77:C77"/>
    <mergeCell ref="B37:C37"/>
    <mergeCell ref="B38:C38"/>
    <mergeCell ref="B99:C99"/>
    <mergeCell ref="B103:D103"/>
    <mergeCell ref="B93:C93"/>
    <mergeCell ref="B79:C79"/>
    <mergeCell ref="B82:C82"/>
    <mergeCell ref="B83:C83"/>
    <mergeCell ref="B84:C84"/>
    <mergeCell ref="B85:C85"/>
    <mergeCell ref="B86:C86"/>
    <mergeCell ref="B88:C88"/>
    <mergeCell ref="B89:C89"/>
    <mergeCell ref="B92:C92"/>
    <mergeCell ref="B90:C90"/>
    <mergeCell ref="B91:C91"/>
    <mergeCell ref="B94:C94"/>
    <mergeCell ref="B95:C95"/>
    <mergeCell ref="B96:C96"/>
    <mergeCell ref="B26:C26"/>
    <mergeCell ref="B27:C27"/>
    <mergeCell ref="B47:C47"/>
    <mergeCell ref="B48:C48"/>
    <mergeCell ref="B49:C49"/>
    <mergeCell ref="AE97:AF97"/>
    <mergeCell ref="AG97:AH97"/>
    <mergeCell ref="B50:C50"/>
    <mergeCell ref="B40:C40"/>
    <mergeCell ref="B28:C28"/>
    <mergeCell ref="B29:C29"/>
    <mergeCell ref="B30:C30"/>
    <mergeCell ref="B31:C31"/>
    <mergeCell ref="B51:C51"/>
    <mergeCell ref="B78:C78"/>
    <mergeCell ref="B63:C63"/>
    <mergeCell ref="B64:C64"/>
    <mergeCell ref="B67:C68"/>
    <mergeCell ref="B53:C53"/>
    <mergeCell ref="B56:C56"/>
    <mergeCell ref="B57:C57"/>
    <mergeCell ref="B58:C58"/>
    <mergeCell ref="B59:C59"/>
    <mergeCell ref="B62:C62"/>
    <mergeCell ref="AI97:AJ97"/>
    <mergeCell ref="A1:F4"/>
    <mergeCell ref="B20:C20"/>
    <mergeCell ref="B21:C21"/>
    <mergeCell ref="B22:C22"/>
    <mergeCell ref="B19:C19"/>
    <mergeCell ref="B18:C18"/>
    <mergeCell ref="B7:E7"/>
    <mergeCell ref="B8:C8"/>
    <mergeCell ref="B9:C9"/>
    <mergeCell ref="B10:C10"/>
    <mergeCell ref="B11:C11"/>
    <mergeCell ref="B52:C52"/>
    <mergeCell ref="B24:C24"/>
    <mergeCell ref="B12:C12"/>
    <mergeCell ref="B13:C13"/>
    <mergeCell ref="B14:C14"/>
    <mergeCell ref="B15:C15"/>
    <mergeCell ref="B44:C44"/>
    <mergeCell ref="B45:C45"/>
    <mergeCell ref="B46:C46"/>
    <mergeCell ref="B32:C32"/>
    <mergeCell ref="B39:C39"/>
    <mergeCell ref="B41:C41"/>
    <mergeCell ref="AQ117:AR117"/>
    <mergeCell ref="AE117:AF117"/>
    <mergeCell ref="AG117:AH117"/>
    <mergeCell ref="AI117:AJ117"/>
    <mergeCell ref="AM117:AN117"/>
    <mergeCell ref="AO117:AP117"/>
    <mergeCell ref="AE103:AF103"/>
    <mergeCell ref="AG103:AH103"/>
    <mergeCell ref="AI103:AJ103"/>
    <mergeCell ref="AE110:AF110"/>
    <mergeCell ref="AG110:AH110"/>
    <mergeCell ref="AI110:AJ1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tabColor rgb="FF002060"/>
  </sheetPr>
  <dimension ref="A1:AD103"/>
  <sheetViews>
    <sheetView topLeftCell="B28" zoomScale="85" zoomScaleNormal="85" workbookViewId="0">
      <selection activeCell="B56" sqref="B56"/>
    </sheetView>
  </sheetViews>
  <sheetFormatPr defaultColWidth="9.140625" defaultRowHeight="15" x14ac:dyDescent="0.25"/>
  <cols>
    <col min="1" max="1" width="19.5703125" style="2" customWidth="1"/>
    <col min="2" max="2" width="12.5703125" style="2" customWidth="1"/>
    <col min="3" max="3" width="13.85546875" style="2" customWidth="1"/>
    <col min="4" max="4" width="29.5703125" style="11" bestFit="1" customWidth="1"/>
    <col min="5" max="29" width="14.42578125" style="2" customWidth="1"/>
    <col min="30" max="16384" width="9.140625" style="2"/>
  </cols>
  <sheetData>
    <row r="1" spans="1:29" ht="15" customHeight="1" x14ac:dyDescent="0.25">
      <c r="A1" s="776" t="s">
        <v>249</v>
      </c>
      <c r="B1" s="777"/>
      <c r="C1" s="777"/>
      <c r="D1" s="777"/>
      <c r="E1" s="777"/>
      <c r="F1" s="778"/>
    </row>
    <row r="2" spans="1:29" x14ac:dyDescent="0.25">
      <c r="A2" s="779"/>
      <c r="B2" s="780"/>
      <c r="C2" s="780"/>
      <c r="D2" s="780"/>
      <c r="E2" s="780"/>
      <c r="F2" s="781"/>
    </row>
    <row r="3" spans="1:29" x14ac:dyDescent="0.25">
      <c r="A3" s="779"/>
      <c r="B3" s="780"/>
      <c r="C3" s="780"/>
      <c r="D3" s="780"/>
      <c r="E3" s="780"/>
      <c r="F3" s="781"/>
    </row>
    <row r="4" spans="1:29" ht="15.75" thickBot="1" x14ac:dyDescent="0.3">
      <c r="A4" s="782"/>
      <c r="B4" s="783"/>
      <c r="C4" s="783"/>
      <c r="D4" s="783"/>
      <c r="E4" s="783"/>
      <c r="F4" s="784"/>
    </row>
    <row r="6" spans="1:29" thickBot="1" x14ac:dyDescent="0.35"/>
    <row r="7" spans="1:29" s="12" customFormat="1" thickBot="1" x14ac:dyDescent="0.35">
      <c r="C7" s="774" t="s">
        <v>93</v>
      </c>
      <c r="D7" s="775"/>
      <c r="E7" s="41">
        <v>1</v>
      </c>
      <c r="F7" s="41">
        <v>2</v>
      </c>
      <c r="G7" s="41">
        <v>3</v>
      </c>
      <c r="H7" s="41">
        <v>4</v>
      </c>
      <c r="I7" s="41">
        <v>5</v>
      </c>
      <c r="J7" s="41">
        <v>6</v>
      </c>
      <c r="K7" s="41">
        <v>7</v>
      </c>
      <c r="L7" s="41">
        <v>8</v>
      </c>
      <c r="M7" s="41">
        <v>9</v>
      </c>
      <c r="N7" s="41">
        <v>10</v>
      </c>
      <c r="O7" s="41">
        <v>11</v>
      </c>
      <c r="P7" s="41">
        <v>12</v>
      </c>
      <c r="Q7" s="41">
        <v>13</v>
      </c>
      <c r="R7" s="41">
        <v>14</v>
      </c>
      <c r="S7" s="41">
        <v>15</v>
      </c>
      <c r="T7" s="41">
        <v>16</v>
      </c>
      <c r="U7" s="41">
        <v>17</v>
      </c>
      <c r="V7" s="41">
        <v>18</v>
      </c>
      <c r="W7" s="41">
        <v>19</v>
      </c>
      <c r="X7" s="41">
        <v>20</v>
      </c>
      <c r="Y7" s="41">
        <v>21</v>
      </c>
      <c r="Z7" s="41">
        <v>22</v>
      </c>
      <c r="AA7" s="41">
        <v>23</v>
      </c>
      <c r="AB7" s="41">
        <v>24</v>
      </c>
      <c r="AC7" s="42">
        <v>25</v>
      </c>
    </row>
    <row r="8" spans="1:29" s="7" customFormat="1" ht="14.45" x14ac:dyDescent="0.3">
      <c r="D8" s="236"/>
    </row>
    <row r="9" spans="1:29" thickBot="1" x14ac:dyDescent="0.35">
      <c r="A9" s="7"/>
      <c r="C9" s="15" t="s">
        <v>319</v>
      </c>
    </row>
    <row r="10" spans="1:29" s="292" customFormat="1" ht="14.45" x14ac:dyDescent="0.3">
      <c r="A10" s="291"/>
      <c r="C10" s="293" t="s">
        <v>58</v>
      </c>
      <c r="D10" s="294" t="s">
        <v>59</v>
      </c>
      <c r="E10" s="295">
        <v>2016</v>
      </c>
      <c r="F10" s="295">
        <v>2017</v>
      </c>
      <c r="G10" s="295">
        <v>2018</v>
      </c>
      <c r="H10" s="295">
        <v>2019</v>
      </c>
      <c r="I10" s="295">
        <v>2020</v>
      </c>
      <c r="J10" s="295">
        <v>2021</v>
      </c>
      <c r="K10" s="295">
        <v>2022</v>
      </c>
      <c r="L10" s="295">
        <v>2023</v>
      </c>
      <c r="M10" s="295">
        <v>2024</v>
      </c>
      <c r="N10" s="295">
        <v>2025</v>
      </c>
      <c r="O10" s="295">
        <v>2026</v>
      </c>
      <c r="P10" s="295">
        <v>2027</v>
      </c>
      <c r="Q10" s="295">
        <v>2028</v>
      </c>
      <c r="R10" s="295">
        <v>2029</v>
      </c>
      <c r="S10" s="295">
        <v>2030</v>
      </c>
      <c r="T10" s="295">
        <v>2031</v>
      </c>
      <c r="U10" s="295">
        <v>2032</v>
      </c>
      <c r="V10" s="295">
        <v>2033</v>
      </c>
      <c r="W10" s="295">
        <v>2034</v>
      </c>
      <c r="X10" s="295">
        <v>2035</v>
      </c>
      <c r="Y10" s="295">
        <v>2036</v>
      </c>
      <c r="Z10" s="295">
        <v>2037</v>
      </c>
      <c r="AA10" s="295">
        <v>2038</v>
      </c>
      <c r="AB10" s="295">
        <v>2039</v>
      </c>
      <c r="AC10" s="307">
        <v>2040</v>
      </c>
    </row>
    <row r="11" spans="1:29" x14ac:dyDescent="0.25">
      <c r="A11" s="773"/>
      <c r="C11" s="23" t="s">
        <v>46</v>
      </c>
      <c r="D11" s="237">
        <f>'Key_Assumptions_&amp;_Inputs'!D38</f>
        <v>5.8700000000000002E-2</v>
      </c>
      <c r="E11" s="13">
        <f>D11*(1+'Key_Assumptions_&amp;_Inputs'!$E$64)</f>
        <v>6.0331860000000008E-2</v>
      </c>
      <c r="F11" s="13">
        <f>E11*(1+'Key_Assumptions_&amp;_Inputs'!$E$64)</f>
        <v>6.2009085708000011E-2</v>
      </c>
      <c r="G11" s="13">
        <f>F11*(1+'Key_Assumptions_&amp;_Inputs'!$E$64)</f>
        <v>6.3732938290682412E-2</v>
      </c>
      <c r="H11" s="13">
        <f>G11*(1+'Key_Assumptions_&amp;_Inputs'!$E$64)</f>
        <v>6.5504713975163387E-2</v>
      </c>
      <c r="I11" s="13">
        <f>H11*(1+'Key_Assumptions_&amp;_Inputs'!$E$64)</f>
        <v>6.7325745023672931E-2</v>
      </c>
      <c r="J11" s="13">
        <f>I11*(1+'Key_Assumptions_&amp;_Inputs'!$E$64)</f>
        <v>6.9197400735331038E-2</v>
      </c>
      <c r="K11" s="13">
        <f>J11*(1+'Key_Assumptions_&amp;_Inputs'!$E$64)</f>
        <v>7.1121088475773239E-2</v>
      </c>
      <c r="L11" s="13">
        <f>K11*(1+'Key_Assumptions_&amp;_Inputs'!$E$64)</f>
        <v>7.3098254735399742E-2</v>
      </c>
      <c r="M11" s="13">
        <f>L11*(1+'Key_Assumptions_&amp;_Inputs'!$E$64)</f>
        <v>7.5130386217043862E-2</v>
      </c>
      <c r="N11" s="13">
        <f>M11*(1+'Key_Assumptions_&amp;_Inputs'!$E$64)</f>
        <v>7.721901095387769E-2</v>
      </c>
      <c r="O11" s="13">
        <f>N11*(1+'Key_Assumptions_&amp;_Inputs'!$E$64)</f>
        <v>7.93656994583955E-2</v>
      </c>
      <c r="P11" s="13">
        <f>O11*(1+'Key_Assumptions_&amp;_Inputs'!$E$64)</f>
        <v>8.1572065903338903E-2</v>
      </c>
      <c r="Q11" s="13">
        <f>P11*(1+'Key_Assumptions_&amp;_Inputs'!$E$64)</f>
        <v>8.383976933545173E-2</v>
      </c>
      <c r="R11" s="13">
        <f>Q11*(1+'Key_Assumptions_&amp;_Inputs'!$E$64)</f>
        <v>8.6170514922977295E-2</v>
      </c>
      <c r="S11" s="13">
        <f>R11*(1+'Key_Assumptions_&amp;_Inputs'!$E$64)</f>
        <v>8.8566055237836075E-2</v>
      </c>
      <c r="T11" s="13">
        <f>S11*(1+'Key_Assumptions_&amp;_Inputs'!$E$64)</f>
        <v>9.1028191573447922E-2</v>
      </c>
      <c r="U11" s="13">
        <f>T11*(1+'Key_Assumptions_&amp;_Inputs'!$E$64)</f>
        <v>9.3558775299189781E-2</v>
      </c>
      <c r="V11" s="13">
        <f>U11*(1+'Key_Assumptions_&amp;_Inputs'!$E$64)</f>
        <v>9.6159709252507261E-2</v>
      </c>
      <c r="W11" s="13">
        <f>V11*(1+'Key_Assumptions_&amp;_Inputs'!$E$64)</f>
        <v>9.8832949169726972E-2</v>
      </c>
      <c r="X11" s="13">
        <f>W11*(1+'Key_Assumptions_&amp;_Inputs'!$E$64)</f>
        <v>0.10158050515664539</v>
      </c>
      <c r="Y11" s="13">
        <f>X11*(1+'Key_Assumptions_&amp;_Inputs'!$E$64)</f>
        <v>0.10440444320000014</v>
      </c>
      <c r="Z11" s="13">
        <f>Y11*(1+'Key_Assumptions_&amp;_Inputs'!$E$64)</f>
        <v>0.10730688672096014</v>
      </c>
      <c r="AA11" s="13">
        <f>Z11*(1+'Key_Assumptions_&amp;_Inputs'!$E$64)</f>
        <v>0.11029001817180284</v>
      </c>
      <c r="AB11" s="13">
        <f>AA11*(1+'Key_Assumptions_&amp;_Inputs'!$E$64)</f>
        <v>0.11335608067697896</v>
      </c>
      <c r="AC11" s="16">
        <f>AB11*(1+'Key_Assumptions_&amp;_Inputs'!$E$64)</f>
        <v>0.11650737971979898</v>
      </c>
    </row>
    <row r="12" spans="1:29" x14ac:dyDescent="0.25">
      <c r="A12" s="773"/>
      <c r="C12" s="24" t="s">
        <v>47</v>
      </c>
      <c r="D12" s="237">
        <f>'Key_Assumptions_&amp;_Inputs'!D39</f>
        <v>5.8700000000000002E-2</v>
      </c>
      <c r="E12" s="14">
        <f>D12*(1+'Key_Assumptions_&amp;_Inputs'!$E$64)</f>
        <v>6.0331860000000008E-2</v>
      </c>
      <c r="F12" s="14">
        <f>E12*(1+'Key_Assumptions_&amp;_Inputs'!$E$64)</f>
        <v>6.2009085708000011E-2</v>
      </c>
      <c r="G12" s="14">
        <f>F12*(1+'Key_Assumptions_&amp;_Inputs'!$E$64)</f>
        <v>6.3732938290682412E-2</v>
      </c>
      <c r="H12" s="14">
        <f>G12*(1+'Key_Assumptions_&amp;_Inputs'!$E$64)</f>
        <v>6.5504713975163387E-2</v>
      </c>
      <c r="I12" s="14">
        <f>H12*(1+'Key_Assumptions_&amp;_Inputs'!$E$64)</f>
        <v>6.7325745023672931E-2</v>
      </c>
      <c r="J12" s="14">
        <f>I12*(1+'Key_Assumptions_&amp;_Inputs'!$E$64)</f>
        <v>6.9197400735331038E-2</v>
      </c>
      <c r="K12" s="14">
        <f>J12*(1+'Key_Assumptions_&amp;_Inputs'!$E$64)</f>
        <v>7.1121088475773239E-2</v>
      </c>
      <c r="L12" s="14">
        <f>K12*(1+'Key_Assumptions_&amp;_Inputs'!$E$64)</f>
        <v>7.3098254735399742E-2</v>
      </c>
      <c r="M12" s="14">
        <f>L12*(1+'Key_Assumptions_&amp;_Inputs'!$E$64)</f>
        <v>7.5130386217043862E-2</v>
      </c>
      <c r="N12" s="14">
        <f>M12*(1+'Key_Assumptions_&amp;_Inputs'!$E$64)</f>
        <v>7.721901095387769E-2</v>
      </c>
      <c r="O12" s="14">
        <f>N12*(1+'Key_Assumptions_&amp;_Inputs'!$E$64)</f>
        <v>7.93656994583955E-2</v>
      </c>
      <c r="P12" s="14">
        <f>O12*(1+'Key_Assumptions_&amp;_Inputs'!$E$64)</f>
        <v>8.1572065903338903E-2</v>
      </c>
      <c r="Q12" s="14">
        <f>P12*(1+'Key_Assumptions_&amp;_Inputs'!$E$64)</f>
        <v>8.383976933545173E-2</v>
      </c>
      <c r="R12" s="14">
        <f>Q12*(1+'Key_Assumptions_&amp;_Inputs'!$E$64)</f>
        <v>8.6170514922977295E-2</v>
      </c>
      <c r="S12" s="14">
        <f>R12*(1+'Key_Assumptions_&amp;_Inputs'!$E$64)</f>
        <v>8.8566055237836075E-2</v>
      </c>
      <c r="T12" s="14">
        <f>S12*(1+'Key_Assumptions_&amp;_Inputs'!$E$64)</f>
        <v>9.1028191573447922E-2</v>
      </c>
      <c r="U12" s="14">
        <f>T12*(1+'Key_Assumptions_&amp;_Inputs'!$E$64)</f>
        <v>9.3558775299189781E-2</v>
      </c>
      <c r="V12" s="14">
        <f>U12*(1+'Key_Assumptions_&amp;_Inputs'!$E$64)</f>
        <v>9.6159709252507261E-2</v>
      </c>
      <c r="W12" s="14">
        <f>V12*(1+'Key_Assumptions_&amp;_Inputs'!$E$64)</f>
        <v>9.8832949169726972E-2</v>
      </c>
      <c r="X12" s="14">
        <f>W12*(1+'Key_Assumptions_&amp;_Inputs'!$E$64)</f>
        <v>0.10158050515664539</v>
      </c>
      <c r="Y12" s="14">
        <f>X12*(1+'Key_Assumptions_&amp;_Inputs'!$E$64)</f>
        <v>0.10440444320000014</v>
      </c>
      <c r="Z12" s="14">
        <f>Y12*(1+'Key_Assumptions_&amp;_Inputs'!$E$64)</f>
        <v>0.10730688672096014</v>
      </c>
      <c r="AA12" s="14">
        <f>Z12*(1+'Key_Assumptions_&amp;_Inputs'!$E$64)</f>
        <v>0.11029001817180284</v>
      </c>
      <c r="AB12" s="14">
        <f>AA12*(1+'Key_Assumptions_&amp;_Inputs'!$E$64)</f>
        <v>0.11335608067697896</v>
      </c>
      <c r="AC12" s="17">
        <f>AB12*(1+'Key_Assumptions_&amp;_Inputs'!$E$64)</f>
        <v>0.11650737971979898</v>
      </c>
    </row>
    <row r="13" spans="1:29" x14ac:dyDescent="0.25">
      <c r="A13" s="773"/>
      <c r="C13" s="24" t="s">
        <v>48</v>
      </c>
      <c r="D13" s="237">
        <f>'Key_Assumptions_&amp;_Inputs'!D40</f>
        <v>5.8700000000000002E-2</v>
      </c>
      <c r="E13" s="14">
        <f>D13*(1+'Key_Assumptions_&amp;_Inputs'!$E$64)</f>
        <v>6.0331860000000008E-2</v>
      </c>
      <c r="F13" s="14">
        <f>E13*(1+'Key_Assumptions_&amp;_Inputs'!$E$64)</f>
        <v>6.2009085708000011E-2</v>
      </c>
      <c r="G13" s="14">
        <f>F13*(1+'Key_Assumptions_&amp;_Inputs'!$E$64)</f>
        <v>6.3732938290682412E-2</v>
      </c>
      <c r="H13" s="14">
        <f>G13*(1+'Key_Assumptions_&amp;_Inputs'!$E$64)</f>
        <v>6.5504713975163387E-2</v>
      </c>
      <c r="I13" s="14">
        <f>H13*(1+'Key_Assumptions_&amp;_Inputs'!$E$64)</f>
        <v>6.7325745023672931E-2</v>
      </c>
      <c r="J13" s="14">
        <f>I13*(1+'Key_Assumptions_&amp;_Inputs'!$E$64)</f>
        <v>6.9197400735331038E-2</v>
      </c>
      <c r="K13" s="14">
        <f>J13*(1+'Key_Assumptions_&amp;_Inputs'!$E$64)</f>
        <v>7.1121088475773239E-2</v>
      </c>
      <c r="L13" s="14">
        <f>K13*(1+'Key_Assumptions_&amp;_Inputs'!$E$64)</f>
        <v>7.3098254735399742E-2</v>
      </c>
      <c r="M13" s="14">
        <f>L13*(1+'Key_Assumptions_&amp;_Inputs'!$E$64)</f>
        <v>7.5130386217043862E-2</v>
      </c>
      <c r="N13" s="14">
        <f>M13*(1+'Key_Assumptions_&amp;_Inputs'!$E$64)</f>
        <v>7.721901095387769E-2</v>
      </c>
      <c r="O13" s="14">
        <f>N13*(1+'Key_Assumptions_&amp;_Inputs'!$E$64)</f>
        <v>7.93656994583955E-2</v>
      </c>
      <c r="P13" s="14">
        <f>O13*(1+'Key_Assumptions_&amp;_Inputs'!$E$64)</f>
        <v>8.1572065903338903E-2</v>
      </c>
      <c r="Q13" s="14">
        <f>P13*(1+'Key_Assumptions_&amp;_Inputs'!$E$64)</f>
        <v>8.383976933545173E-2</v>
      </c>
      <c r="R13" s="14">
        <f>Q13*(1+'Key_Assumptions_&amp;_Inputs'!$E$64)</f>
        <v>8.6170514922977295E-2</v>
      </c>
      <c r="S13" s="14">
        <f>R13*(1+'Key_Assumptions_&amp;_Inputs'!$E$64)</f>
        <v>8.8566055237836075E-2</v>
      </c>
      <c r="T13" s="14">
        <f>S13*(1+'Key_Assumptions_&amp;_Inputs'!$E$64)</f>
        <v>9.1028191573447922E-2</v>
      </c>
      <c r="U13" s="14">
        <f>T13*(1+'Key_Assumptions_&amp;_Inputs'!$E$64)</f>
        <v>9.3558775299189781E-2</v>
      </c>
      <c r="V13" s="14">
        <f>U13*(1+'Key_Assumptions_&amp;_Inputs'!$E$64)</f>
        <v>9.6159709252507261E-2</v>
      </c>
      <c r="W13" s="14">
        <f>V13*(1+'Key_Assumptions_&amp;_Inputs'!$E$64)</f>
        <v>9.8832949169726972E-2</v>
      </c>
      <c r="X13" s="14">
        <f>W13*(1+'Key_Assumptions_&amp;_Inputs'!$E$64)</f>
        <v>0.10158050515664539</v>
      </c>
      <c r="Y13" s="14">
        <f>X13*(1+'Key_Assumptions_&amp;_Inputs'!$E$64)</f>
        <v>0.10440444320000014</v>
      </c>
      <c r="Z13" s="14">
        <f>Y13*(1+'Key_Assumptions_&amp;_Inputs'!$E$64)</f>
        <v>0.10730688672096014</v>
      </c>
      <c r="AA13" s="14">
        <f>Z13*(1+'Key_Assumptions_&amp;_Inputs'!$E$64)</f>
        <v>0.11029001817180284</v>
      </c>
      <c r="AB13" s="14">
        <f>AA13*(1+'Key_Assumptions_&amp;_Inputs'!$E$64)</f>
        <v>0.11335608067697896</v>
      </c>
      <c r="AC13" s="17">
        <f>AB13*(1+'Key_Assumptions_&amp;_Inputs'!$E$64)</f>
        <v>0.11650737971979898</v>
      </c>
    </row>
    <row r="14" spans="1:29" x14ac:dyDescent="0.25">
      <c r="A14" s="773"/>
      <c r="C14" s="24" t="s">
        <v>49</v>
      </c>
      <c r="D14" s="237">
        <f>'Key_Assumptions_&amp;_Inputs'!D41</f>
        <v>5.8700000000000002E-2</v>
      </c>
      <c r="E14" s="14">
        <f>D14*(1+'Key_Assumptions_&amp;_Inputs'!$E$64)</f>
        <v>6.0331860000000008E-2</v>
      </c>
      <c r="F14" s="14">
        <f>E14*(1+'Key_Assumptions_&amp;_Inputs'!$E$64)</f>
        <v>6.2009085708000011E-2</v>
      </c>
      <c r="G14" s="14">
        <f>F14*(1+'Key_Assumptions_&amp;_Inputs'!$E$64)</f>
        <v>6.3732938290682412E-2</v>
      </c>
      <c r="H14" s="14">
        <f>G14*(1+'Key_Assumptions_&amp;_Inputs'!$E$64)</f>
        <v>6.5504713975163387E-2</v>
      </c>
      <c r="I14" s="14">
        <f>H14*(1+'Key_Assumptions_&amp;_Inputs'!$E$64)</f>
        <v>6.7325745023672931E-2</v>
      </c>
      <c r="J14" s="14">
        <f>I14*(1+'Key_Assumptions_&amp;_Inputs'!$E$64)</f>
        <v>6.9197400735331038E-2</v>
      </c>
      <c r="K14" s="14">
        <f>J14*(1+'Key_Assumptions_&amp;_Inputs'!$E$64)</f>
        <v>7.1121088475773239E-2</v>
      </c>
      <c r="L14" s="14">
        <f>K14*(1+'Key_Assumptions_&amp;_Inputs'!$E$64)</f>
        <v>7.3098254735399742E-2</v>
      </c>
      <c r="M14" s="14">
        <f>L14*(1+'Key_Assumptions_&amp;_Inputs'!$E$64)</f>
        <v>7.5130386217043862E-2</v>
      </c>
      <c r="N14" s="14">
        <f>M14*(1+'Key_Assumptions_&amp;_Inputs'!$E$64)</f>
        <v>7.721901095387769E-2</v>
      </c>
      <c r="O14" s="14">
        <f>N14*(1+'Key_Assumptions_&amp;_Inputs'!$E$64)</f>
        <v>7.93656994583955E-2</v>
      </c>
      <c r="P14" s="14">
        <f>O14*(1+'Key_Assumptions_&amp;_Inputs'!$E$64)</f>
        <v>8.1572065903338903E-2</v>
      </c>
      <c r="Q14" s="14">
        <f>P14*(1+'Key_Assumptions_&amp;_Inputs'!$E$64)</f>
        <v>8.383976933545173E-2</v>
      </c>
      <c r="R14" s="14">
        <f>Q14*(1+'Key_Assumptions_&amp;_Inputs'!$E$64)</f>
        <v>8.6170514922977295E-2</v>
      </c>
      <c r="S14" s="14">
        <f>R14*(1+'Key_Assumptions_&amp;_Inputs'!$E$64)</f>
        <v>8.8566055237836075E-2</v>
      </c>
      <c r="T14" s="14">
        <f>S14*(1+'Key_Assumptions_&amp;_Inputs'!$E$64)</f>
        <v>9.1028191573447922E-2</v>
      </c>
      <c r="U14" s="14">
        <f>T14*(1+'Key_Assumptions_&amp;_Inputs'!$E$64)</f>
        <v>9.3558775299189781E-2</v>
      </c>
      <c r="V14" s="14">
        <f>U14*(1+'Key_Assumptions_&amp;_Inputs'!$E$64)</f>
        <v>9.6159709252507261E-2</v>
      </c>
      <c r="W14" s="14">
        <f>V14*(1+'Key_Assumptions_&amp;_Inputs'!$E$64)</f>
        <v>9.8832949169726972E-2</v>
      </c>
      <c r="X14" s="14">
        <f>W14*(1+'Key_Assumptions_&amp;_Inputs'!$E$64)</f>
        <v>0.10158050515664539</v>
      </c>
      <c r="Y14" s="14">
        <f>X14*(1+'Key_Assumptions_&amp;_Inputs'!$E$64)</f>
        <v>0.10440444320000014</v>
      </c>
      <c r="Z14" s="14">
        <f>Y14*(1+'Key_Assumptions_&amp;_Inputs'!$E$64)</f>
        <v>0.10730688672096014</v>
      </c>
      <c r="AA14" s="14">
        <f>Z14*(1+'Key_Assumptions_&amp;_Inputs'!$E$64)</f>
        <v>0.11029001817180284</v>
      </c>
      <c r="AB14" s="14">
        <f>AA14*(1+'Key_Assumptions_&amp;_Inputs'!$E$64)</f>
        <v>0.11335608067697896</v>
      </c>
      <c r="AC14" s="17">
        <f>AB14*(1+'Key_Assumptions_&amp;_Inputs'!$E$64)</f>
        <v>0.11650737971979898</v>
      </c>
    </row>
    <row r="15" spans="1:29" x14ac:dyDescent="0.25">
      <c r="A15" s="773"/>
      <c r="C15" s="24" t="s">
        <v>50</v>
      </c>
      <c r="D15" s="237">
        <f>'Key_Assumptions_&amp;_Inputs'!D42</f>
        <v>5.8700000000000002E-2</v>
      </c>
      <c r="E15" s="14">
        <f>D15*(1+'Key_Assumptions_&amp;_Inputs'!$E$64)</f>
        <v>6.0331860000000008E-2</v>
      </c>
      <c r="F15" s="14">
        <f>E15*(1+'Key_Assumptions_&amp;_Inputs'!$E$64)</f>
        <v>6.2009085708000011E-2</v>
      </c>
      <c r="G15" s="14">
        <f>F15*(1+'Key_Assumptions_&amp;_Inputs'!$E$64)</f>
        <v>6.3732938290682412E-2</v>
      </c>
      <c r="H15" s="14">
        <f>G15*(1+'Key_Assumptions_&amp;_Inputs'!$E$64)</f>
        <v>6.5504713975163387E-2</v>
      </c>
      <c r="I15" s="14">
        <f>H15*(1+'Key_Assumptions_&amp;_Inputs'!$E$64)</f>
        <v>6.7325745023672931E-2</v>
      </c>
      <c r="J15" s="14">
        <f>I15*(1+'Key_Assumptions_&amp;_Inputs'!$E$64)</f>
        <v>6.9197400735331038E-2</v>
      </c>
      <c r="K15" s="14">
        <f>J15*(1+'Key_Assumptions_&amp;_Inputs'!$E$64)</f>
        <v>7.1121088475773239E-2</v>
      </c>
      <c r="L15" s="14">
        <f>K15*(1+'Key_Assumptions_&amp;_Inputs'!$E$64)</f>
        <v>7.3098254735399742E-2</v>
      </c>
      <c r="M15" s="14">
        <f>L15*(1+'Key_Assumptions_&amp;_Inputs'!$E$64)</f>
        <v>7.5130386217043862E-2</v>
      </c>
      <c r="N15" s="14">
        <f>M15*(1+'Key_Assumptions_&amp;_Inputs'!$E$64)</f>
        <v>7.721901095387769E-2</v>
      </c>
      <c r="O15" s="14">
        <f>N15*(1+'Key_Assumptions_&amp;_Inputs'!$E$64)</f>
        <v>7.93656994583955E-2</v>
      </c>
      <c r="P15" s="14">
        <f>O15*(1+'Key_Assumptions_&amp;_Inputs'!$E$64)</f>
        <v>8.1572065903338903E-2</v>
      </c>
      <c r="Q15" s="14">
        <f>P15*(1+'Key_Assumptions_&amp;_Inputs'!$E$64)</f>
        <v>8.383976933545173E-2</v>
      </c>
      <c r="R15" s="14">
        <f>Q15*(1+'Key_Assumptions_&amp;_Inputs'!$E$64)</f>
        <v>8.6170514922977295E-2</v>
      </c>
      <c r="S15" s="14">
        <f>R15*(1+'Key_Assumptions_&amp;_Inputs'!$E$64)</f>
        <v>8.8566055237836075E-2</v>
      </c>
      <c r="T15" s="14">
        <f>S15*(1+'Key_Assumptions_&amp;_Inputs'!$E$64)</f>
        <v>9.1028191573447922E-2</v>
      </c>
      <c r="U15" s="14">
        <f>T15*(1+'Key_Assumptions_&amp;_Inputs'!$E$64)</f>
        <v>9.3558775299189781E-2</v>
      </c>
      <c r="V15" s="14">
        <f>U15*(1+'Key_Assumptions_&amp;_Inputs'!$E$64)</f>
        <v>9.6159709252507261E-2</v>
      </c>
      <c r="W15" s="14">
        <f>V15*(1+'Key_Assumptions_&amp;_Inputs'!$E$64)</f>
        <v>9.8832949169726972E-2</v>
      </c>
      <c r="X15" s="14">
        <f>W15*(1+'Key_Assumptions_&amp;_Inputs'!$E$64)</f>
        <v>0.10158050515664539</v>
      </c>
      <c r="Y15" s="14">
        <f>X15*(1+'Key_Assumptions_&amp;_Inputs'!$E$64)</f>
        <v>0.10440444320000014</v>
      </c>
      <c r="Z15" s="14">
        <f>Y15*(1+'Key_Assumptions_&amp;_Inputs'!$E$64)</f>
        <v>0.10730688672096014</v>
      </c>
      <c r="AA15" s="14">
        <f>Z15*(1+'Key_Assumptions_&amp;_Inputs'!$E$64)</f>
        <v>0.11029001817180284</v>
      </c>
      <c r="AB15" s="14">
        <f>AA15*(1+'Key_Assumptions_&amp;_Inputs'!$E$64)</f>
        <v>0.11335608067697896</v>
      </c>
      <c r="AC15" s="17">
        <f>AB15*(1+'Key_Assumptions_&amp;_Inputs'!$E$64)</f>
        <v>0.11650737971979898</v>
      </c>
    </row>
    <row r="16" spans="1:29" x14ac:dyDescent="0.25">
      <c r="A16" s="773"/>
      <c r="C16" s="24" t="s">
        <v>51</v>
      </c>
      <c r="D16" s="237">
        <f>'Key_Assumptions_&amp;_Inputs'!D43</f>
        <v>5.8700000000000002E-2</v>
      </c>
      <c r="E16" s="14">
        <f>D16*(1+'Key_Assumptions_&amp;_Inputs'!$E$64)</f>
        <v>6.0331860000000008E-2</v>
      </c>
      <c r="F16" s="14">
        <f>E16*(1+'Key_Assumptions_&amp;_Inputs'!$E$64)</f>
        <v>6.2009085708000011E-2</v>
      </c>
      <c r="G16" s="14">
        <f>F16*(1+'Key_Assumptions_&amp;_Inputs'!$E$64)</f>
        <v>6.3732938290682412E-2</v>
      </c>
      <c r="H16" s="14">
        <f>G16*(1+'Key_Assumptions_&amp;_Inputs'!$E$64)</f>
        <v>6.5504713975163387E-2</v>
      </c>
      <c r="I16" s="14">
        <f>H16*(1+'Key_Assumptions_&amp;_Inputs'!$E$64)</f>
        <v>6.7325745023672931E-2</v>
      </c>
      <c r="J16" s="14">
        <f>I16*(1+'Key_Assumptions_&amp;_Inputs'!$E$64)</f>
        <v>6.9197400735331038E-2</v>
      </c>
      <c r="K16" s="14">
        <f>J16*(1+'Key_Assumptions_&amp;_Inputs'!$E$64)</f>
        <v>7.1121088475773239E-2</v>
      </c>
      <c r="L16" s="14">
        <f>K16*(1+'Key_Assumptions_&amp;_Inputs'!$E$64)</f>
        <v>7.3098254735399742E-2</v>
      </c>
      <c r="M16" s="14">
        <f>L16*(1+'Key_Assumptions_&amp;_Inputs'!$E$64)</f>
        <v>7.5130386217043862E-2</v>
      </c>
      <c r="N16" s="14">
        <f>M16*(1+'Key_Assumptions_&amp;_Inputs'!$E$64)</f>
        <v>7.721901095387769E-2</v>
      </c>
      <c r="O16" s="14">
        <f>N16*(1+'Key_Assumptions_&amp;_Inputs'!$E$64)</f>
        <v>7.93656994583955E-2</v>
      </c>
      <c r="P16" s="14">
        <f>O16*(1+'Key_Assumptions_&amp;_Inputs'!$E$64)</f>
        <v>8.1572065903338903E-2</v>
      </c>
      <c r="Q16" s="14">
        <f>P16*(1+'Key_Assumptions_&amp;_Inputs'!$E$64)</f>
        <v>8.383976933545173E-2</v>
      </c>
      <c r="R16" s="14">
        <f>Q16*(1+'Key_Assumptions_&amp;_Inputs'!$E$64)</f>
        <v>8.6170514922977295E-2</v>
      </c>
      <c r="S16" s="14">
        <f>R16*(1+'Key_Assumptions_&amp;_Inputs'!$E$64)</f>
        <v>8.8566055237836075E-2</v>
      </c>
      <c r="T16" s="14">
        <f>S16*(1+'Key_Assumptions_&amp;_Inputs'!$E$64)</f>
        <v>9.1028191573447922E-2</v>
      </c>
      <c r="U16" s="14">
        <f>T16*(1+'Key_Assumptions_&amp;_Inputs'!$E$64)</f>
        <v>9.3558775299189781E-2</v>
      </c>
      <c r="V16" s="14">
        <f>U16*(1+'Key_Assumptions_&amp;_Inputs'!$E$64)</f>
        <v>9.6159709252507261E-2</v>
      </c>
      <c r="W16" s="14">
        <f>V16*(1+'Key_Assumptions_&amp;_Inputs'!$E$64)</f>
        <v>9.8832949169726972E-2</v>
      </c>
      <c r="X16" s="14">
        <f>W16*(1+'Key_Assumptions_&amp;_Inputs'!$E$64)</f>
        <v>0.10158050515664539</v>
      </c>
      <c r="Y16" s="14">
        <f>X16*(1+'Key_Assumptions_&amp;_Inputs'!$E$64)</f>
        <v>0.10440444320000014</v>
      </c>
      <c r="Z16" s="14">
        <f>Y16*(1+'Key_Assumptions_&amp;_Inputs'!$E$64)</f>
        <v>0.10730688672096014</v>
      </c>
      <c r="AA16" s="14">
        <f>Z16*(1+'Key_Assumptions_&amp;_Inputs'!$E$64)</f>
        <v>0.11029001817180284</v>
      </c>
      <c r="AB16" s="14">
        <f>AA16*(1+'Key_Assumptions_&amp;_Inputs'!$E$64)</f>
        <v>0.11335608067697896</v>
      </c>
      <c r="AC16" s="17">
        <f>AB16*(1+'Key_Assumptions_&amp;_Inputs'!$E$64)</f>
        <v>0.11650737971979898</v>
      </c>
    </row>
    <row r="17" spans="1:29" x14ac:dyDescent="0.25">
      <c r="A17" s="773"/>
      <c r="C17" s="24" t="s">
        <v>52</v>
      </c>
      <c r="D17" s="237">
        <f>'Key_Assumptions_&amp;_Inputs'!D44</f>
        <v>5.8700000000000002E-2</v>
      </c>
      <c r="E17" s="14">
        <f>D17*(1+'Key_Assumptions_&amp;_Inputs'!$E$64)</f>
        <v>6.0331860000000008E-2</v>
      </c>
      <c r="F17" s="14">
        <f>E17*(1+'Key_Assumptions_&amp;_Inputs'!$E$64)</f>
        <v>6.2009085708000011E-2</v>
      </c>
      <c r="G17" s="14">
        <f>F17*(1+'Key_Assumptions_&amp;_Inputs'!$E$64)</f>
        <v>6.3732938290682412E-2</v>
      </c>
      <c r="H17" s="14">
        <f>G17*(1+'Key_Assumptions_&amp;_Inputs'!$E$64)</f>
        <v>6.5504713975163387E-2</v>
      </c>
      <c r="I17" s="14">
        <f>H17*(1+'Key_Assumptions_&amp;_Inputs'!$E$64)</f>
        <v>6.7325745023672931E-2</v>
      </c>
      <c r="J17" s="14">
        <f>I17*(1+'Key_Assumptions_&amp;_Inputs'!$E$64)</f>
        <v>6.9197400735331038E-2</v>
      </c>
      <c r="K17" s="14">
        <f>J17*(1+'Key_Assumptions_&amp;_Inputs'!$E$64)</f>
        <v>7.1121088475773239E-2</v>
      </c>
      <c r="L17" s="14">
        <f>K17*(1+'Key_Assumptions_&amp;_Inputs'!$E$64)</f>
        <v>7.3098254735399742E-2</v>
      </c>
      <c r="M17" s="14">
        <f>L17*(1+'Key_Assumptions_&amp;_Inputs'!$E$64)</f>
        <v>7.5130386217043862E-2</v>
      </c>
      <c r="N17" s="14">
        <f>M17*(1+'Key_Assumptions_&amp;_Inputs'!$E$64)</f>
        <v>7.721901095387769E-2</v>
      </c>
      <c r="O17" s="14">
        <f>N17*(1+'Key_Assumptions_&amp;_Inputs'!$E$64)</f>
        <v>7.93656994583955E-2</v>
      </c>
      <c r="P17" s="14">
        <f>O17*(1+'Key_Assumptions_&amp;_Inputs'!$E$64)</f>
        <v>8.1572065903338903E-2</v>
      </c>
      <c r="Q17" s="14">
        <f>P17*(1+'Key_Assumptions_&amp;_Inputs'!$E$64)</f>
        <v>8.383976933545173E-2</v>
      </c>
      <c r="R17" s="14">
        <f>Q17*(1+'Key_Assumptions_&amp;_Inputs'!$E$64)</f>
        <v>8.6170514922977295E-2</v>
      </c>
      <c r="S17" s="14">
        <f>R17*(1+'Key_Assumptions_&amp;_Inputs'!$E$64)</f>
        <v>8.8566055237836075E-2</v>
      </c>
      <c r="T17" s="14">
        <f>S17*(1+'Key_Assumptions_&amp;_Inputs'!$E$64)</f>
        <v>9.1028191573447922E-2</v>
      </c>
      <c r="U17" s="14">
        <f>T17*(1+'Key_Assumptions_&amp;_Inputs'!$E$64)</f>
        <v>9.3558775299189781E-2</v>
      </c>
      <c r="V17" s="14">
        <f>U17*(1+'Key_Assumptions_&amp;_Inputs'!$E$64)</f>
        <v>9.6159709252507261E-2</v>
      </c>
      <c r="W17" s="14">
        <f>V17*(1+'Key_Assumptions_&amp;_Inputs'!$E$64)</f>
        <v>9.8832949169726972E-2</v>
      </c>
      <c r="X17" s="14">
        <f>W17*(1+'Key_Assumptions_&amp;_Inputs'!$E$64)</f>
        <v>0.10158050515664539</v>
      </c>
      <c r="Y17" s="14">
        <f>X17*(1+'Key_Assumptions_&amp;_Inputs'!$E$64)</f>
        <v>0.10440444320000014</v>
      </c>
      <c r="Z17" s="14">
        <f>Y17*(1+'Key_Assumptions_&amp;_Inputs'!$E$64)</f>
        <v>0.10730688672096014</v>
      </c>
      <c r="AA17" s="14">
        <f>Z17*(1+'Key_Assumptions_&amp;_Inputs'!$E$64)</f>
        <v>0.11029001817180284</v>
      </c>
      <c r="AB17" s="14">
        <f>AA17*(1+'Key_Assumptions_&amp;_Inputs'!$E$64)</f>
        <v>0.11335608067697896</v>
      </c>
      <c r="AC17" s="17">
        <f>AB17*(1+'Key_Assumptions_&amp;_Inputs'!$E$64)</f>
        <v>0.11650737971979898</v>
      </c>
    </row>
    <row r="18" spans="1:29" ht="14.25" customHeight="1" x14ac:dyDescent="0.25">
      <c r="A18" s="773"/>
      <c r="C18" s="24" t="s">
        <v>53</v>
      </c>
      <c r="D18" s="237">
        <f>'Key_Assumptions_&amp;_Inputs'!D45</f>
        <v>5.8700000000000002E-2</v>
      </c>
      <c r="E18" s="14">
        <f>D18*(1+'Key_Assumptions_&amp;_Inputs'!$E$64)</f>
        <v>6.0331860000000008E-2</v>
      </c>
      <c r="F18" s="14">
        <f>E18*(1+'Key_Assumptions_&amp;_Inputs'!$E$64)</f>
        <v>6.2009085708000011E-2</v>
      </c>
      <c r="G18" s="14">
        <f>F18*(1+'Key_Assumptions_&amp;_Inputs'!$E$64)</f>
        <v>6.3732938290682412E-2</v>
      </c>
      <c r="H18" s="14">
        <f>G18*(1+'Key_Assumptions_&amp;_Inputs'!$E$64)</f>
        <v>6.5504713975163387E-2</v>
      </c>
      <c r="I18" s="14">
        <f>H18*(1+'Key_Assumptions_&amp;_Inputs'!$E$64)</f>
        <v>6.7325745023672931E-2</v>
      </c>
      <c r="J18" s="14">
        <f>I18*(1+'Key_Assumptions_&amp;_Inputs'!$E$64)</f>
        <v>6.9197400735331038E-2</v>
      </c>
      <c r="K18" s="14">
        <f>J18*(1+'Key_Assumptions_&amp;_Inputs'!$E$64)</f>
        <v>7.1121088475773239E-2</v>
      </c>
      <c r="L18" s="14">
        <f>K18*(1+'Key_Assumptions_&amp;_Inputs'!$E$64)</f>
        <v>7.3098254735399742E-2</v>
      </c>
      <c r="M18" s="14">
        <f>L18*(1+'Key_Assumptions_&amp;_Inputs'!$E$64)</f>
        <v>7.5130386217043862E-2</v>
      </c>
      <c r="N18" s="14">
        <f>M18*(1+'Key_Assumptions_&amp;_Inputs'!$E$64)</f>
        <v>7.721901095387769E-2</v>
      </c>
      <c r="O18" s="14">
        <f>N18*(1+'Key_Assumptions_&amp;_Inputs'!$E$64)</f>
        <v>7.93656994583955E-2</v>
      </c>
      <c r="P18" s="14">
        <f>O18*(1+'Key_Assumptions_&amp;_Inputs'!$E$64)</f>
        <v>8.1572065903338903E-2</v>
      </c>
      <c r="Q18" s="14">
        <f>P18*(1+'Key_Assumptions_&amp;_Inputs'!$E$64)</f>
        <v>8.383976933545173E-2</v>
      </c>
      <c r="R18" s="14">
        <f>Q18*(1+'Key_Assumptions_&amp;_Inputs'!$E$64)</f>
        <v>8.6170514922977295E-2</v>
      </c>
      <c r="S18" s="14">
        <f>R18*(1+'Key_Assumptions_&amp;_Inputs'!$E$64)</f>
        <v>8.8566055237836075E-2</v>
      </c>
      <c r="T18" s="14">
        <f>S18*(1+'Key_Assumptions_&amp;_Inputs'!$E$64)</f>
        <v>9.1028191573447922E-2</v>
      </c>
      <c r="U18" s="14">
        <f>T18*(1+'Key_Assumptions_&amp;_Inputs'!$E$64)</f>
        <v>9.3558775299189781E-2</v>
      </c>
      <c r="V18" s="14">
        <f>U18*(1+'Key_Assumptions_&amp;_Inputs'!$E$64)</f>
        <v>9.6159709252507261E-2</v>
      </c>
      <c r="W18" s="14">
        <f>V18*(1+'Key_Assumptions_&amp;_Inputs'!$E$64)</f>
        <v>9.8832949169726972E-2</v>
      </c>
      <c r="X18" s="14">
        <f>W18*(1+'Key_Assumptions_&amp;_Inputs'!$E$64)</f>
        <v>0.10158050515664539</v>
      </c>
      <c r="Y18" s="14">
        <f>X18*(1+'Key_Assumptions_&amp;_Inputs'!$E$64)</f>
        <v>0.10440444320000014</v>
      </c>
      <c r="Z18" s="14">
        <f>Y18*(1+'Key_Assumptions_&amp;_Inputs'!$E$64)</f>
        <v>0.10730688672096014</v>
      </c>
      <c r="AA18" s="14">
        <f>Z18*(1+'Key_Assumptions_&amp;_Inputs'!$E$64)</f>
        <v>0.11029001817180284</v>
      </c>
      <c r="AB18" s="14">
        <f>AA18*(1+'Key_Assumptions_&amp;_Inputs'!$E$64)</f>
        <v>0.11335608067697896</v>
      </c>
      <c r="AC18" s="17">
        <f>AB18*(1+'Key_Assumptions_&amp;_Inputs'!$E$64)</f>
        <v>0.11650737971979898</v>
      </c>
    </row>
    <row r="19" spans="1:29" x14ac:dyDescent="0.25">
      <c r="A19" s="773"/>
      <c r="C19" s="24" t="s">
        <v>54</v>
      </c>
      <c r="D19" s="237">
        <f>'Key_Assumptions_&amp;_Inputs'!D46</f>
        <v>5.8700000000000002E-2</v>
      </c>
      <c r="E19" s="14">
        <f>D19*(1+'Key_Assumptions_&amp;_Inputs'!$E$64)</f>
        <v>6.0331860000000008E-2</v>
      </c>
      <c r="F19" s="14">
        <f>E19*(1+'Key_Assumptions_&amp;_Inputs'!$E$64)</f>
        <v>6.2009085708000011E-2</v>
      </c>
      <c r="G19" s="14">
        <f>F19*(1+'Key_Assumptions_&amp;_Inputs'!$E$64)</f>
        <v>6.3732938290682412E-2</v>
      </c>
      <c r="H19" s="14">
        <f>G19*(1+'Key_Assumptions_&amp;_Inputs'!$E$64)</f>
        <v>6.5504713975163387E-2</v>
      </c>
      <c r="I19" s="14">
        <f>H19*(1+'Key_Assumptions_&amp;_Inputs'!$E$64)</f>
        <v>6.7325745023672931E-2</v>
      </c>
      <c r="J19" s="14">
        <f>I19*(1+'Key_Assumptions_&amp;_Inputs'!$E$64)</f>
        <v>6.9197400735331038E-2</v>
      </c>
      <c r="K19" s="14">
        <f>J19*(1+'Key_Assumptions_&amp;_Inputs'!$E$64)</f>
        <v>7.1121088475773239E-2</v>
      </c>
      <c r="L19" s="14">
        <f>K19*(1+'Key_Assumptions_&amp;_Inputs'!$E$64)</f>
        <v>7.3098254735399742E-2</v>
      </c>
      <c r="M19" s="14">
        <f>L19*(1+'Key_Assumptions_&amp;_Inputs'!$E$64)</f>
        <v>7.5130386217043862E-2</v>
      </c>
      <c r="N19" s="14">
        <f>M19*(1+'Key_Assumptions_&amp;_Inputs'!$E$64)</f>
        <v>7.721901095387769E-2</v>
      </c>
      <c r="O19" s="14">
        <f>N19*(1+'Key_Assumptions_&amp;_Inputs'!$E$64)</f>
        <v>7.93656994583955E-2</v>
      </c>
      <c r="P19" s="14">
        <f>O19*(1+'Key_Assumptions_&amp;_Inputs'!$E$64)</f>
        <v>8.1572065903338903E-2</v>
      </c>
      <c r="Q19" s="14">
        <f>P19*(1+'Key_Assumptions_&amp;_Inputs'!$E$64)</f>
        <v>8.383976933545173E-2</v>
      </c>
      <c r="R19" s="14">
        <f>Q19*(1+'Key_Assumptions_&amp;_Inputs'!$E$64)</f>
        <v>8.6170514922977295E-2</v>
      </c>
      <c r="S19" s="14">
        <f>R19*(1+'Key_Assumptions_&amp;_Inputs'!$E$64)</f>
        <v>8.8566055237836075E-2</v>
      </c>
      <c r="T19" s="14">
        <f>S19*(1+'Key_Assumptions_&amp;_Inputs'!$E$64)</f>
        <v>9.1028191573447922E-2</v>
      </c>
      <c r="U19" s="14">
        <f>T19*(1+'Key_Assumptions_&amp;_Inputs'!$E$64)</f>
        <v>9.3558775299189781E-2</v>
      </c>
      <c r="V19" s="14">
        <f>U19*(1+'Key_Assumptions_&amp;_Inputs'!$E$64)</f>
        <v>9.6159709252507261E-2</v>
      </c>
      <c r="W19" s="14">
        <f>V19*(1+'Key_Assumptions_&amp;_Inputs'!$E$64)</f>
        <v>9.8832949169726972E-2</v>
      </c>
      <c r="X19" s="14">
        <f>W19*(1+'Key_Assumptions_&amp;_Inputs'!$E$64)</f>
        <v>0.10158050515664539</v>
      </c>
      <c r="Y19" s="14">
        <f>X19*(1+'Key_Assumptions_&amp;_Inputs'!$E$64)</f>
        <v>0.10440444320000014</v>
      </c>
      <c r="Z19" s="14">
        <f>Y19*(1+'Key_Assumptions_&amp;_Inputs'!$E$64)</f>
        <v>0.10730688672096014</v>
      </c>
      <c r="AA19" s="14">
        <f>Z19*(1+'Key_Assumptions_&amp;_Inputs'!$E$64)</f>
        <v>0.11029001817180284</v>
      </c>
      <c r="AB19" s="14">
        <f>AA19*(1+'Key_Assumptions_&amp;_Inputs'!$E$64)</f>
        <v>0.11335608067697896</v>
      </c>
      <c r="AC19" s="17">
        <f>AB19*(1+'Key_Assumptions_&amp;_Inputs'!$E$64)</f>
        <v>0.11650737971979898</v>
      </c>
    </row>
    <row r="20" spans="1:29" x14ac:dyDescent="0.25">
      <c r="A20" s="773"/>
      <c r="C20" s="24" t="s">
        <v>55</v>
      </c>
      <c r="D20" s="237">
        <f>'Key_Assumptions_&amp;_Inputs'!D47</f>
        <v>5.8700000000000002E-2</v>
      </c>
      <c r="E20" s="14">
        <f>D20*(1+'Key_Assumptions_&amp;_Inputs'!$E$64)</f>
        <v>6.0331860000000008E-2</v>
      </c>
      <c r="F20" s="14">
        <f>E20*(1+'Key_Assumptions_&amp;_Inputs'!$E$64)</f>
        <v>6.2009085708000011E-2</v>
      </c>
      <c r="G20" s="14">
        <f>F20*(1+'Key_Assumptions_&amp;_Inputs'!$E$64)</f>
        <v>6.3732938290682412E-2</v>
      </c>
      <c r="H20" s="14">
        <f>G20*(1+'Key_Assumptions_&amp;_Inputs'!$E$64)</f>
        <v>6.5504713975163387E-2</v>
      </c>
      <c r="I20" s="14">
        <f>H20*(1+'Key_Assumptions_&amp;_Inputs'!$E$64)</f>
        <v>6.7325745023672931E-2</v>
      </c>
      <c r="J20" s="14">
        <f>I20*(1+'Key_Assumptions_&amp;_Inputs'!$E$64)</f>
        <v>6.9197400735331038E-2</v>
      </c>
      <c r="K20" s="14">
        <f>J20*(1+'Key_Assumptions_&amp;_Inputs'!$E$64)</f>
        <v>7.1121088475773239E-2</v>
      </c>
      <c r="L20" s="14">
        <f>K20*(1+'Key_Assumptions_&amp;_Inputs'!$E$64)</f>
        <v>7.3098254735399742E-2</v>
      </c>
      <c r="M20" s="14">
        <f>L20*(1+'Key_Assumptions_&amp;_Inputs'!$E$64)</f>
        <v>7.5130386217043862E-2</v>
      </c>
      <c r="N20" s="14">
        <f>M20*(1+'Key_Assumptions_&amp;_Inputs'!$E$64)</f>
        <v>7.721901095387769E-2</v>
      </c>
      <c r="O20" s="14">
        <f>N20*(1+'Key_Assumptions_&amp;_Inputs'!$E$64)</f>
        <v>7.93656994583955E-2</v>
      </c>
      <c r="P20" s="14">
        <f>O20*(1+'Key_Assumptions_&amp;_Inputs'!$E$64)</f>
        <v>8.1572065903338903E-2</v>
      </c>
      <c r="Q20" s="14">
        <f>P20*(1+'Key_Assumptions_&amp;_Inputs'!$E$64)</f>
        <v>8.383976933545173E-2</v>
      </c>
      <c r="R20" s="14">
        <f>Q20*(1+'Key_Assumptions_&amp;_Inputs'!$E$64)</f>
        <v>8.6170514922977295E-2</v>
      </c>
      <c r="S20" s="14">
        <f>R20*(1+'Key_Assumptions_&amp;_Inputs'!$E$64)</f>
        <v>8.8566055237836075E-2</v>
      </c>
      <c r="T20" s="14">
        <f>S20*(1+'Key_Assumptions_&amp;_Inputs'!$E$64)</f>
        <v>9.1028191573447922E-2</v>
      </c>
      <c r="U20" s="14">
        <f>T20*(1+'Key_Assumptions_&amp;_Inputs'!$E$64)</f>
        <v>9.3558775299189781E-2</v>
      </c>
      <c r="V20" s="14">
        <f>U20*(1+'Key_Assumptions_&amp;_Inputs'!$E$64)</f>
        <v>9.6159709252507261E-2</v>
      </c>
      <c r="W20" s="14">
        <f>V20*(1+'Key_Assumptions_&amp;_Inputs'!$E$64)</f>
        <v>9.8832949169726972E-2</v>
      </c>
      <c r="X20" s="14">
        <f>W20*(1+'Key_Assumptions_&amp;_Inputs'!$E$64)</f>
        <v>0.10158050515664539</v>
      </c>
      <c r="Y20" s="14">
        <f>X20*(1+'Key_Assumptions_&amp;_Inputs'!$E$64)</f>
        <v>0.10440444320000014</v>
      </c>
      <c r="Z20" s="14">
        <f>Y20*(1+'Key_Assumptions_&amp;_Inputs'!$E$64)</f>
        <v>0.10730688672096014</v>
      </c>
      <c r="AA20" s="14">
        <f>Z20*(1+'Key_Assumptions_&amp;_Inputs'!$E$64)</f>
        <v>0.11029001817180284</v>
      </c>
      <c r="AB20" s="14">
        <f>AA20*(1+'Key_Assumptions_&amp;_Inputs'!$E$64)</f>
        <v>0.11335608067697896</v>
      </c>
      <c r="AC20" s="17">
        <f>AB20*(1+'Key_Assumptions_&amp;_Inputs'!$E$64)</f>
        <v>0.11650737971979898</v>
      </c>
    </row>
    <row r="21" spans="1:29" x14ac:dyDescent="0.25">
      <c r="A21" s="773"/>
      <c r="C21" s="24" t="s">
        <v>56</v>
      </c>
      <c r="D21" s="237">
        <f>'Key_Assumptions_&amp;_Inputs'!D48</f>
        <v>5.8700000000000002E-2</v>
      </c>
      <c r="E21" s="14">
        <f>D21*(1+'Key_Assumptions_&amp;_Inputs'!$E$64)</f>
        <v>6.0331860000000008E-2</v>
      </c>
      <c r="F21" s="14">
        <f>E21*(1+'Key_Assumptions_&amp;_Inputs'!$E$64)</f>
        <v>6.2009085708000011E-2</v>
      </c>
      <c r="G21" s="14">
        <f>F21*(1+'Key_Assumptions_&amp;_Inputs'!$E$64)</f>
        <v>6.3732938290682412E-2</v>
      </c>
      <c r="H21" s="14">
        <f>G21*(1+'Key_Assumptions_&amp;_Inputs'!$E$64)</f>
        <v>6.5504713975163387E-2</v>
      </c>
      <c r="I21" s="14">
        <f>H21*(1+'Key_Assumptions_&amp;_Inputs'!$E$64)</f>
        <v>6.7325745023672931E-2</v>
      </c>
      <c r="J21" s="14">
        <f>I21*(1+'Key_Assumptions_&amp;_Inputs'!$E$64)</f>
        <v>6.9197400735331038E-2</v>
      </c>
      <c r="K21" s="14">
        <f>J21*(1+'Key_Assumptions_&amp;_Inputs'!$E$64)</f>
        <v>7.1121088475773239E-2</v>
      </c>
      <c r="L21" s="14">
        <f>K21*(1+'Key_Assumptions_&amp;_Inputs'!$E$64)</f>
        <v>7.3098254735399742E-2</v>
      </c>
      <c r="M21" s="14">
        <f>L21*(1+'Key_Assumptions_&amp;_Inputs'!$E$64)</f>
        <v>7.5130386217043862E-2</v>
      </c>
      <c r="N21" s="14">
        <f>M21*(1+'Key_Assumptions_&amp;_Inputs'!$E$64)</f>
        <v>7.721901095387769E-2</v>
      </c>
      <c r="O21" s="14">
        <f>N21*(1+'Key_Assumptions_&amp;_Inputs'!$E$64)</f>
        <v>7.93656994583955E-2</v>
      </c>
      <c r="P21" s="14">
        <f>O21*(1+'Key_Assumptions_&amp;_Inputs'!$E$64)</f>
        <v>8.1572065903338903E-2</v>
      </c>
      <c r="Q21" s="14">
        <f>P21*(1+'Key_Assumptions_&amp;_Inputs'!$E$64)</f>
        <v>8.383976933545173E-2</v>
      </c>
      <c r="R21" s="14">
        <f>Q21*(1+'Key_Assumptions_&amp;_Inputs'!$E$64)</f>
        <v>8.6170514922977295E-2</v>
      </c>
      <c r="S21" s="14">
        <f>R21*(1+'Key_Assumptions_&amp;_Inputs'!$E$64)</f>
        <v>8.8566055237836075E-2</v>
      </c>
      <c r="T21" s="14">
        <f>S21*(1+'Key_Assumptions_&amp;_Inputs'!$E$64)</f>
        <v>9.1028191573447922E-2</v>
      </c>
      <c r="U21" s="14">
        <f>T21*(1+'Key_Assumptions_&amp;_Inputs'!$E$64)</f>
        <v>9.3558775299189781E-2</v>
      </c>
      <c r="V21" s="14">
        <f>U21*(1+'Key_Assumptions_&amp;_Inputs'!$E$64)</f>
        <v>9.6159709252507261E-2</v>
      </c>
      <c r="W21" s="14">
        <f>V21*(1+'Key_Assumptions_&amp;_Inputs'!$E$64)</f>
        <v>9.8832949169726972E-2</v>
      </c>
      <c r="X21" s="14">
        <f>W21*(1+'Key_Assumptions_&amp;_Inputs'!$E$64)</f>
        <v>0.10158050515664539</v>
      </c>
      <c r="Y21" s="14">
        <f>X21*(1+'Key_Assumptions_&amp;_Inputs'!$E$64)</f>
        <v>0.10440444320000014</v>
      </c>
      <c r="Z21" s="14">
        <f>Y21*(1+'Key_Assumptions_&amp;_Inputs'!$E$64)</f>
        <v>0.10730688672096014</v>
      </c>
      <c r="AA21" s="14">
        <f>Z21*(1+'Key_Assumptions_&amp;_Inputs'!$E$64)</f>
        <v>0.11029001817180284</v>
      </c>
      <c r="AB21" s="14">
        <f>AA21*(1+'Key_Assumptions_&amp;_Inputs'!$E$64)</f>
        <v>0.11335608067697896</v>
      </c>
      <c r="AC21" s="17">
        <f>AB21*(1+'Key_Assumptions_&amp;_Inputs'!$E$64)</f>
        <v>0.11650737971979898</v>
      </c>
    </row>
    <row r="22" spans="1:29" ht="15.75" thickBot="1" x14ac:dyDescent="0.3">
      <c r="A22" s="773"/>
      <c r="C22" s="25" t="s">
        <v>57</v>
      </c>
      <c r="D22" s="238">
        <f>'Key_Assumptions_&amp;_Inputs'!D49</f>
        <v>5.8700000000000002E-2</v>
      </c>
      <c r="E22" s="18">
        <f>D22*(1+'Key_Assumptions_&amp;_Inputs'!$E$64)</f>
        <v>6.0331860000000008E-2</v>
      </c>
      <c r="F22" s="18">
        <f>E22*(1+'Key_Assumptions_&amp;_Inputs'!$E$64)</f>
        <v>6.2009085708000011E-2</v>
      </c>
      <c r="G22" s="18">
        <f>F22*(1+'Key_Assumptions_&amp;_Inputs'!$E$64)</f>
        <v>6.3732938290682412E-2</v>
      </c>
      <c r="H22" s="18">
        <f>G22*(1+'Key_Assumptions_&amp;_Inputs'!$E$64)</f>
        <v>6.5504713975163387E-2</v>
      </c>
      <c r="I22" s="18">
        <f>H22*(1+'Key_Assumptions_&amp;_Inputs'!$E$64)</f>
        <v>6.7325745023672931E-2</v>
      </c>
      <c r="J22" s="18">
        <f>I22*(1+'Key_Assumptions_&amp;_Inputs'!$E$64)</f>
        <v>6.9197400735331038E-2</v>
      </c>
      <c r="K22" s="18">
        <f>J22*(1+'Key_Assumptions_&amp;_Inputs'!$E$64)</f>
        <v>7.1121088475773239E-2</v>
      </c>
      <c r="L22" s="18">
        <f>K22*(1+'Key_Assumptions_&amp;_Inputs'!$E$64)</f>
        <v>7.3098254735399742E-2</v>
      </c>
      <c r="M22" s="18">
        <f>L22*(1+'Key_Assumptions_&amp;_Inputs'!$E$64)</f>
        <v>7.5130386217043862E-2</v>
      </c>
      <c r="N22" s="18">
        <f>M22*(1+'Key_Assumptions_&amp;_Inputs'!$E$64)</f>
        <v>7.721901095387769E-2</v>
      </c>
      <c r="O22" s="18">
        <f>N22*(1+'Key_Assumptions_&amp;_Inputs'!$E$64)</f>
        <v>7.93656994583955E-2</v>
      </c>
      <c r="P22" s="18">
        <f>O22*(1+'Key_Assumptions_&amp;_Inputs'!$E$64)</f>
        <v>8.1572065903338903E-2</v>
      </c>
      <c r="Q22" s="18">
        <f>P22*(1+'Key_Assumptions_&amp;_Inputs'!$E$64)</f>
        <v>8.383976933545173E-2</v>
      </c>
      <c r="R22" s="18">
        <f>Q22*(1+'Key_Assumptions_&amp;_Inputs'!$E$64)</f>
        <v>8.6170514922977295E-2</v>
      </c>
      <c r="S22" s="18">
        <f>R22*(1+'Key_Assumptions_&amp;_Inputs'!$E$64)</f>
        <v>8.8566055237836075E-2</v>
      </c>
      <c r="T22" s="18">
        <f>S22*(1+'Key_Assumptions_&amp;_Inputs'!$E$64)</f>
        <v>9.1028191573447922E-2</v>
      </c>
      <c r="U22" s="18">
        <f>T22*(1+'Key_Assumptions_&amp;_Inputs'!$E$64)</f>
        <v>9.3558775299189781E-2</v>
      </c>
      <c r="V22" s="18">
        <f>U22*(1+'Key_Assumptions_&amp;_Inputs'!$E$64)</f>
        <v>9.6159709252507261E-2</v>
      </c>
      <c r="W22" s="18">
        <f>V22*(1+'Key_Assumptions_&amp;_Inputs'!$E$64)</f>
        <v>9.8832949169726972E-2</v>
      </c>
      <c r="X22" s="18">
        <f>W22*(1+'Key_Assumptions_&amp;_Inputs'!$E$64)</f>
        <v>0.10158050515664539</v>
      </c>
      <c r="Y22" s="18">
        <f>X22*(1+'Key_Assumptions_&amp;_Inputs'!$E$64)</f>
        <v>0.10440444320000014</v>
      </c>
      <c r="Z22" s="18">
        <f>Y22*(1+'Key_Assumptions_&amp;_Inputs'!$E$64)</f>
        <v>0.10730688672096014</v>
      </c>
      <c r="AA22" s="18">
        <f>Z22*(1+'Key_Assumptions_&amp;_Inputs'!$E$64)</f>
        <v>0.11029001817180284</v>
      </c>
      <c r="AB22" s="18">
        <f>AA22*(1+'Key_Assumptions_&amp;_Inputs'!$E$64)</f>
        <v>0.11335608067697896</v>
      </c>
      <c r="AC22" s="19">
        <f>AB22*(1+'Key_Assumptions_&amp;_Inputs'!$E$64)</f>
        <v>0.11650737971979898</v>
      </c>
    </row>
    <row r="23" spans="1:29" x14ac:dyDescent="0.25">
      <c r="A23" s="7"/>
      <c r="B23" s="7"/>
      <c r="C23" s="14"/>
      <c r="D23" s="239"/>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s="257" customFormat="1" ht="15.75" thickBot="1" x14ac:dyDescent="0.3">
      <c r="A24" s="7"/>
      <c r="C24" s="15" t="s">
        <v>320</v>
      </c>
      <c r="D24" s="11"/>
    </row>
    <row r="25" spans="1:29" s="292" customFormat="1" x14ac:dyDescent="0.25">
      <c r="A25" s="291"/>
      <c r="C25" s="293" t="s">
        <v>58</v>
      </c>
      <c r="D25" s="294" t="s">
        <v>59</v>
      </c>
      <c r="E25" s="295">
        <v>2016</v>
      </c>
      <c r="F25" s="295">
        <v>2017</v>
      </c>
      <c r="G25" s="295">
        <v>2018</v>
      </c>
      <c r="H25" s="295">
        <v>2019</v>
      </c>
      <c r="I25" s="295">
        <v>2020</v>
      </c>
      <c r="J25" s="295">
        <v>2021</v>
      </c>
      <c r="K25" s="295">
        <v>2022</v>
      </c>
      <c r="L25" s="295">
        <v>2023</v>
      </c>
      <c r="M25" s="295">
        <v>2024</v>
      </c>
      <c r="N25" s="295">
        <v>2025</v>
      </c>
      <c r="O25" s="295">
        <v>2026</v>
      </c>
      <c r="P25" s="295">
        <v>2027</v>
      </c>
      <c r="Q25" s="295">
        <v>2028</v>
      </c>
      <c r="R25" s="295">
        <v>2029</v>
      </c>
      <c r="S25" s="295">
        <v>2030</v>
      </c>
      <c r="T25" s="295">
        <v>2031</v>
      </c>
      <c r="U25" s="295">
        <v>2032</v>
      </c>
      <c r="V25" s="295">
        <v>2033</v>
      </c>
      <c r="W25" s="295">
        <v>2034</v>
      </c>
      <c r="X25" s="295">
        <v>2035</v>
      </c>
      <c r="Y25" s="295">
        <v>2036</v>
      </c>
      <c r="Z25" s="295">
        <v>2037</v>
      </c>
      <c r="AA25" s="295">
        <v>2038</v>
      </c>
      <c r="AB25" s="295">
        <v>2039</v>
      </c>
      <c r="AC25" s="307">
        <v>2040</v>
      </c>
    </row>
    <row r="26" spans="1:29" s="257" customFormat="1" x14ac:dyDescent="0.25">
      <c r="A26" s="773"/>
      <c r="C26" s="23" t="s">
        <v>46</v>
      </c>
      <c r="D26" s="237">
        <f>'Key_Assumptions_&amp;_Inputs'!E38</f>
        <v>3.5000000000000003E-2</v>
      </c>
      <c r="E26" s="13">
        <f>D26*(1+'Key_Assumptions_&amp;_Inputs'!$E$64)</f>
        <v>3.5973000000000005E-2</v>
      </c>
      <c r="F26" s="13">
        <f>E26*(1+'Key_Assumptions_&amp;_Inputs'!$E$64)</f>
        <v>3.6973049400000006E-2</v>
      </c>
      <c r="G26" s="13">
        <f>F26*(1+'Key_Assumptions_&amp;_Inputs'!$E$64)</f>
        <v>3.8000900173320008E-2</v>
      </c>
      <c r="H26" s="13">
        <f>G26*(1+'Key_Assumptions_&amp;_Inputs'!$E$64)</f>
        <v>3.9057325198138308E-2</v>
      </c>
      <c r="I26" s="13">
        <f>H26*(1+'Key_Assumptions_&amp;_Inputs'!$E$64)</f>
        <v>4.0143118838646553E-2</v>
      </c>
      <c r="J26" s="13">
        <f>I26*(1+'Key_Assumptions_&amp;_Inputs'!$E$64)</f>
        <v>4.1259097542360929E-2</v>
      </c>
      <c r="K26" s="13">
        <f>J26*(1+'Key_Assumptions_&amp;_Inputs'!$E$64)</f>
        <v>4.2406100454038566E-2</v>
      </c>
      <c r="L26" s="13">
        <f>K26*(1+'Key_Assumptions_&amp;_Inputs'!$E$64)</f>
        <v>4.3584990046660839E-2</v>
      </c>
      <c r="M26" s="13">
        <f>L26*(1+'Key_Assumptions_&amp;_Inputs'!$E$64)</f>
        <v>4.4796652769958013E-2</v>
      </c>
      <c r="N26" s="13">
        <f>M26*(1+'Key_Assumptions_&amp;_Inputs'!$E$64)</f>
        <v>4.604199971696285E-2</v>
      </c>
      <c r="O26" s="13">
        <f>N26*(1+'Key_Assumptions_&amp;_Inputs'!$E$64)</f>
        <v>4.7321967309094423E-2</v>
      </c>
      <c r="P26" s="13">
        <f>O26*(1+'Key_Assumptions_&amp;_Inputs'!$E$64)</f>
        <v>4.8637518000287247E-2</v>
      </c>
      <c r="Q26" s="13">
        <f>P26*(1+'Key_Assumptions_&amp;_Inputs'!$E$64)</f>
        <v>4.9989641000695237E-2</v>
      </c>
      <c r="R26" s="13">
        <f>Q26*(1+'Key_Assumptions_&amp;_Inputs'!$E$64)</f>
        <v>5.1379353020514565E-2</v>
      </c>
      <c r="S26" s="13">
        <f>R26*(1+'Key_Assumptions_&amp;_Inputs'!$E$64)</f>
        <v>5.2807699034484873E-2</v>
      </c>
      <c r="T26" s="13">
        <f>S26*(1+'Key_Assumptions_&amp;_Inputs'!$E$64)</f>
        <v>5.4275753067643553E-2</v>
      </c>
      <c r="U26" s="13">
        <f>T26*(1+'Key_Assumptions_&amp;_Inputs'!$E$64)</f>
        <v>5.5784619002924044E-2</v>
      </c>
      <c r="V26" s="13">
        <f>U26*(1+'Key_Assumptions_&amp;_Inputs'!$E$64)</f>
        <v>5.7335431411205333E-2</v>
      </c>
      <c r="W26" s="13">
        <f>V26*(1+'Key_Assumptions_&amp;_Inputs'!$E$64)</f>
        <v>5.892935640443684E-2</v>
      </c>
      <c r="X26" s="13">
        <f>W26*(1+'Key_Assumptions_&amp;_Inputs'!$E$64)</f>
        <v>6.0567592512480187E-2</v>
      </c>
      <c r="Y26" s="13">
        <f>X26*(1+'Key_Assumptions_&amp;_Inputs'!$E$64)</f>
        <v>6.2251371584327142E-2</v>
      </c>
      <c r="Z26" s="13">
        <f>Y26*(1+'Key_Assumptions_&amp;_Inputs'!$E$64)</f>
        <v>6.3981959714371442E-2</v>
      </c>
      <c r="AA26" s="13">
        <f>Z26*(1+'Key_Assumptions_&amp;_Inputs'!$E$64)</f>
        <v>6.5760658194430971E-2</v>
      </c>
      <c r="AB26" s="13">
        <f>AA26*(1+'Key_Assumptions_&amp;_Inputs'!$E$64)</f>
        <v>6.7588804492236157E-2</v>
      </c>
      <c r="AC26" s="16">
        <f>AB26*(1+'Key_Assumptions_&amp;_Inputs'!$E$64)</f>
        <v>6.9467773257120322E-2</v>
      </c>
    </row>
    <row r="27" spans="1:29" s="257" customFormat="1" x14ac:dyDescent="0.25">
      <c r="A27" s="773"/>
      <c r="C27" s="24" t="s">
        <v>47</v>
      </c>
      <c r="D27" s="237">
        <f>'Key_Assumptions_&amp;_Inputs'!E39</f>
        <v>3.5000000000000003E-2</v>
      </c>
      <c r="E27" s="14">
        <f>D27*(1+'Key_Assumptions_&amp;_Inputs'!$E$64)</f>
        <v>3.5973000000000005E-2</v>
      </c>
      <c r="F27" s="14">
        <f>E27*(1+'Key_Assumptions_&amp;_Inputs'!$E$64)</f>
        <v>3.6973049400000006E-2</v>
      </c>
      <c r="G27" s="14">
        <f>F27*(1+'Key_Assumptions_&amp;_Inputs'!$E$64)</f>
        <v>3.8000900173320008E-2</v>
      </c>
      <c r="H27" s="14">
        <f>G27*(1+'Key_Assumptions_&amp;_Inputs'!$E$64)</f>
        <v>3.9057325198138308E-2</v>
      </c>
      <c r="I27" s="14">
        <f>H27*(1+'Key_Assumptions_&amp;_Inputs'!$E$64)</f>
        <v>4.0143118838646553E-2</v>
      </c>
      <c r="J27" s="14">
        <f>I27*(1+'Key_Assumptions_&amp;_Inputs'!$E$64)</f>
        <v>4.1259097542360929E-2</v>
      </c>
      <c r="K27" s="14">
        <f>J27*(1+'Key_Assumptions_&amp;_Inputs'!$E$64)</f>
        <v>4.2406100454038566E-2</v>
      </c>
      <c r="L27" s="14">
        <f>K27*(1+'Key_Assumptions_&amp;_Inputs'!$E$64)</f>
        <v>4.3584990046660839E-2</v>
      </c>
      <c r="M27" s="14">
        <f>L27*(1+'Key_Assumptions_&amp;_Inputs'!$E$64)</f>
        <v>4.4796652769958013E-2</v>
      </c>
      <c r="N27" s="14">
        <f>M27*(1+'Key_Assumptions_&amp;_Inputs'!$E$64)</f>
        <v>4.604199971696285E-2</v>
      </c>
      <c r="O27" s="14">
        <f>N27*(1+'Key_Assumptions_&amp;_Inputs'!$E$64)</f>
        <v>4.7321967309094423E-2</v>
      </c>
      <c r="P27" s="14">
        <f>O27*(1+'Key_Assumptions_&amp;_Inputs'!$E$64)</f>
        <v>4.8637518000287247E-2</v>
      </c>
      <c r="Q27" s="14">
        <f>P27*(1+'Key_Assumptions_&amp;_Inputs'!$E$64)</f>
        <v>4.9989641000695237E-2</v>
      </c>
      <c r="R27" s="14">
        <f>Q27*(1+'Key_Assumptions_&amp;_Inputs'!$E$64)</f>
        <v>5.1379353020514565E-2</v>
      </c>
      <c r="S27" s="14">
        <f>R27*(1+'Key_Assumptions_&amp;_Inputs'!$E$64)</f>
        <v>5.2807699034484873E-2</v>
      </c>
      <c r="T27" s="14">
        <f>S27*(1+'Key_Assumptions_&amp;_Inputs'!$E$64)</f>
        <v>5.4275753067643553E-2</v>
      </c>
      <c r="U27" s="14">
        <f>T27*(1+'Key_Assumptions_&amp;_Inputs'!$E$64)</f>
        <v>5.5784619002924044E-2</v>
      </c>
      <c r="V27" s="14">
        <f>U27*(1+'Key_Assumptions_&amp;_Inputs'!$E$64)</f>
        <v>5.7335431411205333E-2</v>
      </c>
      <c r="W27" s="14">
        <f>V27*(1+'Key_Assumptions_&amp;_Inputs'!$E$64)</f>
        <v>5.892935640443684E-2</v>
      </c>
      <c r="X27" s="14">
        <f>W27*(1+'Key_Assumptions_&amp;_Inputs'!$E$64)</f>
        <v>6.0567592512480187E-2</v>
      </c>
      <c r="Y27" s="14">
        <f>X27*(1+'Key_Assumptions_&amp;_Inputs'!$E$64)</f>
        <v>6.2251371584327142E-2</v>
      </c>
      <c r="Z27" s="14">
        <f>Y27*(1+'Key_Assumptions_&amp;_Inputs'!$E$64)</f>
        <v>6.3981959714371442E-2</v>
      </c>
      <c r="AA27" s="14">
        <f>Z27*(1+'Key_Assumptions_&amp;_Inputs'!$E$64)</f>
        <v>6.5760658194430971E-2</v>
      </c>
      <c r="AB27" s="14">
        <f>AA27*(1+'Key_Assumptions_&amp;_Inputs'!$E$64)</f>
        <v>6.7588804492236157E-2</v>
      </c>
      <c r="AC27" s="17">
        <f>AB27*(1+'Key_Assumptions_&amp;_Inputs'!$E$64)</f>
        <v>6.9467773257120322E-2</v>
      </c>
    </row>
    <row r="28" spans="1:29" s="257" customFormat="1" x14ac:dyDescent="0.25">
      <c r="A28" s="773"/>
      <c r="C28" s="24" t="s">
        <v>48</v>
      </c>
      <c r="D28" s="237">
        <f>'Key_Assumptions_&amp;_Inputs'!E40</f>
        <v>3.5000000000000003E-2</v>
      </c>
      <c r="E28" s="14">
        <f>D28*(1+'Key_Assumptions_&amp;_Inputs'!$E$64)</f>
        <v>3.5973000000000005E-2</v>
      </c>
      <c r="F28" s="14">
        <f>E28*(1+'Key_Assumptions_&amp;_Inputs'!$E$64)</f>
        <v>3.6973049400000006E-2</v>
      </c>
      <c r="G28" s="14">
        <f>F28*(1+'Key_Assumptions_&amp;_Inputs'!$E$64)</f>
        <v>3.8000900173320008E-2</v>
      </c>
      <c r="H28" s="14">
        <f>G28*(1+'Key_Assumptions_&amp;_Inputs'!$E$64)</f>
        <v>3.9057325198138308E-2</v>
      </c>
      <c r="I28" s="14">
        <f>H28*(1+'Key_Assumptions_&amp;_Inputs'!$E$64)</f>
        <v>4.0143118838646553E-2</v>
      </c>
      <c r="J28" s="14">
        <f>I28*(1+'Key_Assumptions_&amp;_Inputs'!$E$64)</f>
        <v>4.1259097542360929E-2</v>
      </c>
      <c r="K28" s="14">
        <f>J28*(1+'Key_Assumptions_&amp;_Inputs'!$E$64)</f>
        <v>4.2406100454038566E-2</v>
      </c>
      <c r="L28" s="14">
        <f>K28*(1+'Key_Assumptions_&amp;_Inputs'!$E$64)</f>
        <v>4.3584990046660839E-2</v>
      </c>
      <c r="M28" s="14">
        <f>L28*(1+'Key_Assumptions_&amp;_Inputs'!$E$64)</f>
        <v>4.4796652769958013E-2</v>
      </c>
      <c r="N28" s="14">
        <f>M28*(1+'Key_Assumptions_&amp;_Inputs'!$E$64)</f>
        <v>4.604199971696285E-2</v>
      </c>
      <c r="O28" s="14">
        <f>N28*(1+'Key_Assumptions_&amp;_Inputs'!$E$64)</f>
        <v>4.7321967309094423E-2</v>
      </c>
      <c r="P28" s="14">
        <f>O28*(1+'Key_Assumptions_&amp;_Inputs'!$E$64)</f>
        <v>4.8637518000287247E-2</v>
      </c>
      <c r="Q28" s="14">
        <f>P28*(1+'Key_Assumptions_&amp;_Inputs'!$E$64)</f>
        <v>4.9989641000695237E-2</v>
      </c>
      <c r="R28" s="14">
        <f>Q28*(1+'Key_Assumptions_&amp;_Inputs'!$E$64)</f>
        <v>5.1379353020514565E-2</v>
      </c>
      <c r="S28" s="14">
        <f>R28*(1+'Key_Assumptions_&amp;_Inputs'!$E$64)</f>
        <v>5.2807699034484873E-2</v>
      </c>
      <c r="T28" s="14">
        <f>S28*(1+'Key_Assumptions_&amp;_Inputs'!$E$64)</f>
        <v>5.4275753067643553E-2</v>
      </c>
      <c r="U28" s="14">
        <f>T28*(1+'Key_Assumptions_&amp;_Inputs'!$E$64)</f>
        <v>5.5784619002924044E-2</v>
      </c>
      <c r="V28" s="14">
        <f>U28*(1+'Key_Assumptions_&amp;_Inputs'!$E$64)</f>
        <v>5.7335431411205333E-2</v>
      </c>
      <c r="W28" s="14">
        <f>V28*(1+'Key_Assumptions_&amp;_Inputs'!$E$64)</f>
        <v>5.892935640443684E-2</v>
      </c>
      <c r="X28" s="14">
        <f>W28*(1+'Key_Assumptions_&amp;_Inputs'!$E$64)</f>
        <v>6.0567592512480187E-2</v>
      </c>
      <c r="Y28" s="14">
        <f>X28*(1+'Key_Assumptions_&amp;_Inputs'!$E$64)</f>
        <v>6.2251371584327142E-2</v>
      </c>
      <c r="Z28" s="14">
        <f>Y28*(1+'Key_Assumptions_&amp;_Inputs'!$E$64)</f>
        <v>6.3981959714371442E-2</v>
      </c>
      <c r="AA28" s="14">
        <f>Z28*(1+'Key_Assumptions_&amp;_Inputs'!$E$64)</f>
        <v>6.5760658194430971E-2</v>
      </c>
      <c r="AB28" s="14">
        <f>AA28*(1+'Key_Assumptions_&amp;_Inputs'!$E$64)</f>
        <v>6.7588804492236157E-2</v>
      </c>
      <c r="AC28" s="17">
        <f>AB28*(1+'Key_Assumptions_&amp;_Inputs'!$E$64)</f>
        <v>6.9467773257120322E-2</v>
      </c>
    </row>
    <row r="29" spans="1:29" s="257" customFormat="1" x14ac:dyDescent="0.25">
      <c r="A29" s="773"/>
      <c r="C29" s="24" t="s">
        <v>49</v>
      </c>
      <c r="D29" s="237">
        <f>'Key_Assumptions_&amp;_Inputs'!E41</f>
        <v>3.5000000000000003E-2</v>
      </c>
      <c r="E29" s="14">
        <f>D29*(1+'Key_Assumptions_&amp;_Inputs'!$E$64)</f>
        <v>3.5973000000000005E-2</v>
      </c>
      <c r="F29" s="14">
        <f>E29*(1+'Key_Assumptions_&amp;_Inputs'!$E$64)</f>
        <v>3.6973049400000006E-2</v>
      </c>
      <c r="G29" s="14">
        <f>F29*(1+'Key_Assumptions_&amp;_Inputs'!$E$64)</f>
        <v>3.8000900173320008E-2</v>
      </c>
      <c r="H29" s="14">
        <f>G29*(1+'Key_Assumptions_&amp;_Inputs'!$E$64)</f>
        <v>3.9057325198138308E-2</v>
      </c>
      <c r="I29" s="14">
        <f>H29*(1+'Key_Assumptions_&amp;_Inputs'!$E$64)</f>
        <v>4.0143118838646553E-2</v>
      </c>
      <c r="J29" s="14">
        <f>I29*(1+'Key_Assumptions_&amp;_Inputs'!$E$64)</f>
        <v>4.1259097542360929E-2</v>
      </c>
      <c r="K29" s="14">
        <f>J29*(1+'Key_Assumptions_&amp;_Inputs'!$E$64)</f>
        <v>4.2406100454038566E-2</v>
      </c>
      <c r="L29" s="14">
        <f>K29*(1+'Key_Assumptions_&amp;_Inputs'!$E$64)</f>
        <v>4.3584990046660839E-2</v>
      </c>
      <c r="M29" s="14">
        <f>L29*(1+'Key_Assumptions_&amp;_Inputs'!$E$64)</f>
        <v>4.4796652769958013E-2</v>
      </c>
      <c r="N29" s="14">
        <f>M29*(1+'Key_Assumptions_&amp;_Inputs'!$E$64)</f>
        <v>4.604199971696285E-2</v>
      </c>
      <c r="O29" s="14">
        <f>N29*(1+'Key_Assumptions_&amp;_Inputs'!$E$64)</f>
        <v>4.7321967309094423E-2</v>
      </c>
      <c r="P29" s="14">
        <f>O29*(1+'Key_Assumptions_&amp;_Inputs'!$E$64)</f>
        <v>4.8637518000287247E-2</v>
      </c>
      <c r="Q29" s="14">
        <f>P29*(1+'Key_Assumptions_&amp;_Inputs'!$E$64)</f>
        <v>4.9989641000695237E-2</v>
      </c>
      <c r="R29" s="14">
        <f>Q29*(1+'Key_Assumptions_&amp;_Inputs'!$E$64)</f>
        <v>5.1379353020514565E-2</v>
      </c>
      <c r="S29" s="14">
        <f>R29*(1+'Key_Assumptions_&amp;_Inputs'!$E$64)</f>
        <v>5.2807699034484873E-2</v>
      </c>
      <c r="T29" s="14">
        <f>S29*(1+'Key_Assumptions_&amp;_Inputs'!$E$64)</f>
        <v>5.4275753067643553E-2</v>
      </c>
      <c r="U29" s="14">
        <f>T29*(1+'Key_Assumptions_&amp;_Inputs'!$E$64)</f>
        <v>5.5784619002924044E-2</v>
      </c>
      <c r="V29" s="14">
        <f>U29*(1+'Key_Assumptions_&amp;_Inputs'!$E$64)</f>
        <v>5.7335431411205333E-2</v>
      </c>
      <c r="W29" s="14">
        <f>V29*(1+'Key_Assumptions_&amp;_Inputs'!$E$64)</f>
        <v>5.892935640443684E-2</v>
      </c>
      <c r="X29" s="14">
        <f>W29*(1+'Key_Assumptions_&amp;_Inputs'!$E$64)</f>
        <v>6.0567592512480187E-2</v>
      </c>
      <c r="Y29" s="14">
        <f>X29*(1+'Key_Assumptions_&amp;_Inputs'!$E$64)</f>
        <v>6.2251371584327142E-2</v>
      </c>
      <c r="Z29" s="14">
        <f>Y29*(1+'Key_Assumptions_&amp;_Inputs'!$E$64)</f>
        <v>6.3981959714371442E-2</v>
      </c>
      <c r="AA29" s="14">
        <f>Z29*(1+'Key_Assumptions_&amp;_Inputs'!$E$64)</f>
        <v>6.5760658194430971E-2</v>
      </c>
      <c r="AB29" s="14">
        <f>AA29*(1+'Key_Assumptions_&amp;_Inputs'!$E$64)</f>
        <v>6.7588804492236157E-2</v>
      </c>
      <c r="AC29" s="17">
        <f>AB29*(1+'Key_Assumptions_&amp;_Inputs'!$E$64)</f>
        <v>6.9467773257120322E-2</v>
      </c>
    </row>
    <row r="30" spans="1:29" s="257" customFormat="1" x14ac:dyDescent="0.25">
      <c r="A30" s="773"/>
      <c r="C30" s="24" t="s">
        <v>50</v>
      </c>
      <c r="D30" s="237">
        <f>'Key_Assumptions_&amp;_Inputs'!E42</f>
        <v>3.5000000000000003E-2</v>
      </c>
      <c r="E30" s="14">
        <f>D30*(1+'Key_Assumptions_&amp;_Inputs'!$E$64)</f>
        <v>3.5973000000000005E-2</v>
      </c>
      <c r="F30" s="14">
        <f>E30*(1+'Key_Assumptions_&amp;_Inputs'!$E$64)</f>
        <v>3.6973049400000006E-2</v>
      </c>
      <c r="G30" s="14">
        <f>F30*(1+'Key_Assumptions_&amp;_Inputs'!$E$64)</f>
        <v>3.8000900173320008E-2</v>
      </c>
      <c r="H30" s="14">
        <f>G30*(1+'Key_Assumptions_&amp;_Inputs'!$E$64)</f>
        <v>3.9057325198138308E-2</v>
      </c>
      <c r="I30" s="14">
        <f>H30*(1+'Key_Assumptions_&amp;_Inputs'!$E$64)</f>
        <v>4.0143118838646553E-2</v>
      </c>
      <c r="J30" s="14">
        <f>I30*(1+'Key_Assumptions_&amp;_Inputs'!$E$64)</f>
        <v>4.1259097542360929E-2</v>
      </c>
      <c r="K30" s="14">
        <f>J30*(1+'Key_Assumptions_&amp;_Inputs'!$E$64)</f>
        <v>4.2406100454038566E-2</v>
      </c>
      <c r="L30" s="14">
        <f>K30*(1+'Key_Assumptions_&amp;_Inputs'!$E$64)</f>
        <v>4.3584990046660839E-2</v>
      </c>
      <c r="M30" s="14">
        <f>L30*(1+'Key_Assumptions_&amp;_Inputs'!$E$64)</f>
        <v>4.4796652769958013E-2</v>
      </c>
      <c r="N30" s="14">
        <f>M30*(1+'Key_Assumptions_&amp;_Inputs'!$E$64)</f>
        <v>4.604199971696285E-2</v>
      </c>
      <c r="O30" s="14">
        <f>N30*(1+'Key_Assumptions_&amp;_Inputs'!$E$64)</f>
        <v>4.7321967309094423E-2</v>
      </c>
      <c r="P30" s="14">
        <f>O30*(1+'Key_Assumptions_&amp;_Inputs'!$E$64)</f>
        <v>4.8637518000287247E-2</v>
      </c>
      <c r="Q30" s="14">
        <f>P30*(1+'Key_Assumptions_&amp;_Inputs'!$E$64)</f>
        <v>4.9989641000695237E-2</v>
      </c>
      <c r="R30" s="14">
        <f>Q30*(1+'Key_Assumptions_&amp;_Inputs'!$E$64)</f>
        <v>5.1379353020514565E-2</v>
      </c>
      <c r="S30" s="14">
        <f>R30*(1+'Key_Assumptions_&amp;_Inputs'!$E$64)</f>
        <v>5.2807699034484873E-2</v>
      </c>
      <c r="T30" s="14">
        <f>S30*(1+'Key_Assumptions_&amp;_Inputs'!$E$64)</f>
        <v>5.4275753067643553E-2</v>
      </c>
      <c r="U30" s="14">
        <f>T30*(1+'Key_Assumptions_&amp;_Inputs'!$E$64)</f>
        <v>5.5784619002924044E-2</v>
      </c>
      <c r="V30" s="14">
        <f>U30*(1+'Key_Assumptions_&amp;_Inputs'!$E$64)</f>
        <v>5.7335431411205333E-2</v>
      </c>
      <c r="W30" s="14">
        <f>V30*(1+'Key_Assumptions_&amp;_Inputs'!$E$64)</f>
        <v>5.892935640443684E-2</v>
      </c>
      <c r="X30" s="14">
        <f>W30*(1+'Key_Assumptions_&amp;_Inputs'!$E$64)</f>
        <v>6.0567592512480187E-2</v>
      </c>
      <c r="Y30" s="14">
        <f>X30*(1+'Key_Assumptions_&amp;_Inputs'!$E$64)</f>
        <v>6.2251371584327142E-2</v>
      </c>
      <c r="Z30" s="14">
        <f>Y30*(1+'Key_Assumptions_&amp;_Inputs'!$E$64)</f>
        <v>6.3981959714371442E-2</v>
      </c>
      <c r="AA30" s="14">
        <f>Z30*(1+'Key_Assumptions_&amp;_Inputs'!$E$64)</f>
        <v>6.5760658194430971E-2</v>
      </c>
      <c r="AB30" s="14">
        <f>AA30*(1+'Key_Assumptions_&amp;_Inputs'!$E$64)</f>
        <v>6.7588804492236157E-2</v>
      </c>
      <c r="AC30" s="17">
        <f>AB30*(1+'Key_Assumptions_&amp;_Inputs'!$E$64)</f>
        <v>6.9467773257120322E-2</v>
      </c>
    </row>
    <row r="31" spans="1:29" s="257" customFormat="1" x14ac:dyDescent="0.25">
      <c r="A31" s="773"/>
      <c r="C31" s="24" t="s">
        <v>51</v>
      </c>
      <c r="D31" s="237">
        <f>'Key_Assumptions_&amp;_Inputs'!E43</f>
        <v>3.5000000000000003E-2</v>
      </c>
      <c r="E31" s="14">
        <f>D31*(1+'Key_Assumptions_&amp;_Inputs'!$E$64)</f>
        <v>3.5973000000000005E-2</v>
      </c>
      <c r="F31" s="14">
        <f>E31*(1+'Key_Assumptions_&amp;_Inputs'!$E$64)</f>
        <v>3.6973049400000006E-2</v>
      </c>
      <c r="G31" s="14">
        <f>F31*(1+'Key_Assumptions_&amp;_Inputs'!$E$64)</f>
        <v>3.8000900173320008E-2</v>
      </c>
      <c r="H31" s="14">
        <f>G31*(1+'Key_Assumptions_&amp;_Inputs'!$E$64)</f>
        <v>3.9057325198138308E-2</v>
      </c>
      <c r="I31" s="14">
        <f>H31*(1+'Key_Assumptions_&amp;_Inputs'!$E$64)</f>
        <v>4.0143118838646553E-2</v>
      </c>
      <c r="J31" s="14">
        <f>I31*(1+'Key_Assumptions_&amp;_Inputs'!$E$64)</f>
        <v>4.1259097542360929E-2</v>
      </c>
      <c r="K31" s="14">
        <f>J31*(1+'Key_Assumptions_&amp;_Inputs'!$E$64)</f>
        <v>4.2406100454038566E-2</v>
      </c>
      <c r="L31" s="14">
        <f>K31*(1+'Key_Assumptions_&amp;_Inputs'!$E$64)</f>
        <v>4.3584990046660839E-2</v>
      </c>
      <c r="M31" s="14">
        <f>L31*(1+'Key_Assumptions_&amp;_Inputs'!$E$64)</f>
        <v>4.4796652769958013E-2</v>
      </c>
      <c r="N31" s="14">
        <f>M31*(1+'Key_Assumptions_&amp;_Inputs'!$E$64)</f>
        <v>4.604199971696285E-2</v>
      </c>
      <c r="O31" s="14">
        <f>N31*(1+'Key_Assumptions_&amp;_Inputs'!$E$64)</f>
        <v>4.7321967309094423E-2</v>
      </c>
      <c r="P31" s="14">
        <f>O31*(1+'Key_Assumptions_&amp;_Inputs'!$E$64)</f>
        <v>4.8637518000287247E-2</v>
      </c>
      <c r="Q31" s="14">
        <f>P31*(1+'Key_Assumptions_&amp;_Inputs'!$E$64)</f>
        <v>4.9989641000695237E-2</v>
      </c>
      <c r="R31" s="14">
        <f>Q31*(1+'Key_Assumptions_&amp;_Inputs'!$E$64)</f>
        <v>5.1379353020514565E-2</v>
      </c>
      <c r="S31" s="14">
        <f>R31*(1+'Key_Assumptions_&amp;_Inputs'!$E$64)</f>
        <v>5.2807699034484873E-2</v>
      </c>
      <c r="T31" s="14">
        <f>S31*(1+'Key_Assumptions_&amp;_Inputs'!$E$64)</f>
        <v>5.4275753067643553E-2</v>
      </c>
      <c r="U31" s="14">
        <f>T31*(1+'Key_Assumptions_&amp;_Inputs'!$E$64)</f>
        <v>5.5784619002924044E-2</v>
      </c>
      <c r="V31" s="14">
        <f>U31*(1+'Key_Assumptions_&amp;_Inputs'!$E$64)</f>
        <v>5.7335431411205333E-2</v>
      </c>
      <c r="W31" s="14">
        <f>V31*(1+'Key_Assumptions_&amp;_Inputs'!$E$64)</f>
        <v>5.892935640443684E-2</v>
      </c>
      <c r="X31" s="14">
        <f>W31*(1+'Key_Assumptions_&amp;_Inputs'!$E$64)</f>
        <v>6.0567592512480187E-2</v>
      </c>
      <c r="Y31" s="14">
        <f>X31*(1+'Key_Assumptions_&amp;_Inputs'!$E$64)</f>
        <v>6.2251371584327142E-2</v>
      </c>
      <c r="Z31" s="14">
        <f>Y31*(1+'Key_Assumptions_&amp;_Inputs'!$E$64)</f>
        <v>6.3981959714371442E-2</v>
      </c>
      <c r="AA31" s="14">
        <f>Z31*(1+'Key_Assumptions_&amp;_Inputs'!$E$64)</f>
        <v>6.5760658194430971E-2</v>
      </c>
      <c r="AB31" s="14">
        <f>AA31*(1+'Key_Assumptions_&amp;_Inputs'!$E$64)</f>
        <v>6.7588804492236157E-2</v>
      </c>
      <c r="AC31" s="17">
        <f>AB31*(1+'Key_Assumptions_&amp;_Inputs'!$E$64)</f>
        <v>6.9467773257120322E-2</v>
      </c>
    </row>
    <row r="32" spans="1:29" s="257" customFormat="1" x14ac:dyDescent="0.25">
      <c r="A32" s="773"/>
      <c r="C32" s="24" t="s">
        <v>52</v>
      </c>
      <c r="D32" s="237">
        <f>'Key_Assumptions_&amp;_Inputs'!E44</f>
        <v>3.5000000000000003E-2</v>
      </c>
      <c r="E32" s="14">
        <f>D32*(1+'Key_Assumptions_&amp;_Inputs'!$E$64)</f>
        <v>3.5973000000000005E-2</v>
      </c>
      <c r="F32" s="14">
        <f>E32*(1+'Key_Assumptions_&amp;_Inputs'!$E$64)</f>
        <v>3.6973049400000006E-2</v>
      </c>
      <c r="G32" s="14">
        <f>F32*(1+'Key_Assumptions_&amp;_Inputs'!$E$64)</f>
        <v>3.8000900173320008E-2</v>
      </c>
      <c r="H32" s="14">
        <f>G32*(1+'Key_Assumptions_&amp;_Inputs'!$E$64)</f>
        <v>3.9057325198138308E-2</v>
      </c>
      <c r="I32" s="14">
        <f>H32*(1+'Key_Assumptions_&amp;_Inputs'!$E$64)</f>
        <v>4.0143118838646553E-2</v>
      </c>
      <c r="J32" s="14">
        <f>I32*(1+'Key_Assumptions_&amp;_Inputs'!$E$64)</f>
        <v>4.1259097542360929E-2</v>
      </c>
      <c r="K32" s="14">
        <f>J32*(1+'Key_Assumptions_&amp;_Inputs'!$E$64)</f>
        <v>4.2406100454038566E-2</v>
      </c>
      <c r="L32" s="14">
        <f>K32*(1+'Key_Assumptions_&amp;_Inputs'!$E$64)</f>
        <v>4.3584990046660839E-2</v>
      </c>
      <c r="M32" s="14">
        <f>L32*(1+'Key_Assumptions_&amp;_Inputs'!$E$64)</f>
        <v>4.4796652769958013E-2</v>
      </c>
      <c r="N32" s="14">
        <f>M32*(1+'Key_Assumptions_&amp;_Inputs'!$E$64)</f>
        <v>4.604199971696285E-2</v>
      </c>
      <c r="O32" s="14">
        <f>N32*(1+'Key_Assumptions_&amp;_Inputs'!$E$64)</f>
        <v>4.7321967309094423E-2</v>
      </c>
      <c r="P32" s="14">
        <f>O32*(1+'Key_Assumptions_&amp;_Inputs'!$E$64)</f>
        <v>4.8637518000287247E-2</v>
      </c>
      <c r="Q32" s="14">
        <f>P32*(1+'Key_Assumptions_&amp;_Inputs'!$E$64)</f>
        <v>4.9989641000695237E-2</v>
      </c>
      <c r="R32" s="14">
        <f>Q32*(1+'Key_Assumptions_&amp;_Inputs'!$E$64)</f>
        <v>5.1379353020514565E-2</v>
      </c>
      <c r="S32" s="14">
        <f>R32*(1+'Key_Assumptions_&amp;_Inputs'!$E$64)</f>
        <v>5.2807699034484873E-2</v>
      </c>
      <c r="T32" s="14">
        <f>S32*(1+'Key_Assumptions_&amp;_Inputs'!$E$64)</f>
        <v>5.4275753067643553E-2</v>
      </c>
      <c r="U32" s="14">
        <f>T32*(1+'Key_Assumptions_&amp;_Inputs'!$E$64)</f>
        <v>5.5784619002924044E-2</v>
      </c>
      <c r="V32" s="14">
        <f>U32*(1+'Key_Assumptions_&amp;_Inputs'!$E$64)</f>
        <v>5.7335431411205333E-2</v>
      </c>
      <c r="W32" s="14">
        <f>V32*(1+'Key_Assumptions_&amp;_Inputs'!$E$64)</f>
        <v>5.892935640443684E-2</v>
      </c>
      <c r="X32" s="14">
        <f>W32*(1+'Key_Assumptions_&amp;_Inputs'!$E$64)</f>
        <v>6.0567592512480187E-2</v>
      </c>
      <c r="Y32" s="14">
        <f>X32*(1+'Key_Assumptions_&amp;_Inputs'!$E$64)</f>
        <v>6.2251371584327142E-2</v>
      </c>
      <c r="Z32" s="14">
        <f>Y32*(1+'Key_Assumptions_&amp;_Inputs'!$E$64)</f>
        <v>6.3981959714371442E-2</v>
      </c>
      <c r="AA32" s="14">
        <f>Z32*(1+'Key_Assumptions_&amp;_Inputs'!$E$64)</f>
        <v>6.5760658194430971E-2</v>
      </c>
      <c r="AB32" s="14">
        <f>AA32*(1+'Key_Assumptions_&amp;_Inputs'!$E$64)</f>
        <v>6.7588804492236157E-2</v>
      </c>
      <c r="AC32" s="17">
        <f>AB32*(1+'Key_Assumptions_&amp;_Inputs'!$E$64)</f>
        <v>6.9467773257120322E-2</v>
      </c>
    </row>
    <row r="33" spans="1:30" s="257" customFormat="1" ht="14.25" customHeight="1" x14ac:dyDescent="0.25">
      <c r="A33" s="773"/>
      <c r="C33" s="24" t="s">
        <v>53</v>
      </c>
      <c r="D33" s="237">
        <f>'Key_Assumptions_&amp;_Inputs'!E45</f>
        <v>3.5000000000000003E-2</v>
      </c>
      <c r="E33" s="14">
        <f>D33*(1+'Key_Assumptions_&amp;_Inputs'!$E$64)</f>
        <v>3.5973000000000005E-2</v>
      </c>
      <c r="F33" s="14">
        <f>E33*(1+'Key_Assumptions_&amp;_Inputs'!$E$64)</f>
        <v>3.6973049400000006E-2</v>
      </c>
      <c r="G33" s="14">
        <f>F33*(1+'Key_Assumptions_&amp;_Inputs'!$E$64)</f>
        <v>3.8000900173320008E-2</v>
      </c>
      <c r="H33" s="14">
        <f>G33*(1+'Key_Assumptions_&amp;_Inputs'!$E$64)</f>
        <v>3.9057325198138308E-2</v>
      </c>
      <c r="I33" s="14">
        <f>H33*(1+'Key_Assumptions_&amp;_Inputs'!$E$64)</f>
        <v>4.0143118838646553E-2</v>
      </c>
      <c r="J33" s="14">
        <f>I33*(1+'Key_Assumptions_&amp;_Inputs'!$E$64)</f>
        <v>4.1259097542360929E-2</v>
      </c>
      <c r="K33" s="14">
        <f>J33*(1+'Key_Assumptions_&amp;_Inputs'!$E$64)</f>
        <v>4.2406100454038566E-2</v>
      </c>
      <c r="L33" s="14">
        <f>K33*(1+'Key_Assumptions_&amp;_Inputs'!$E$64)</f>
        <v>4.3584990046660839E-2</v>
      </c>
      <c r="M33" s="14">
        <f>L33*(1+'Key_Assumptions_&amp;_Inputs'!$E$64)</f>
        <v>4.4796652769958013E-2</v>
      </c>
      <c r="N33" s="14">
        <f>M33*(1+'Key_Assumptions_&amp;_Inputs'!$E$64)</f>
        <v>4.604199971696285E-2</v>
      </c>
      <c r="O33" s="14">
        <f>N33*(1+'Key_Assumptions_&amp;_Inputs'!$E$64)</f>
        <v>4.7321967309094423E-2</v>
      </c>
      <c r="P33" s="14">
        <f>O33*(1+'Key_Assumptions_&amp;_Inputs'!$E$64)</f>
        <v>4.8637518000287247E-2</v>
      </c>
      <c r="Q33" s="14">
        <f>P33*(1+'Key_Assumptions_&amp;_Inputs'!$E$64)</f>
        <v>4.9989641000695237E-2</v>
      </c>
      <c r="R33" s="14">
        <f>Q33*(1+'Key_Assumptions_&amp;_Inputs'!$E$64)</f>
        <v>5.1379353020514565E-2</v>
      </c>
      <c r="S33" s="14">
        <f>R33*(1+'Key_Assumptions_&amp;_Inputs'!$E$64)</f>
        <v>5.2807699034484873E-2</v>
      </c>
      <c r="T33" s="14">
        <f>S33*(1+'Key_Assumptions_&amp;_Inputs'!$E$64)</f>
        <v>5.4275753067643553E-2</v>
      </c>
      <c r="U33" s="14">
        <f>T33*(1+'Key_Assumptions_&amp;_Inputs'!$E$64)</f>
        <v>5.5784619002924044E-2</v>
      </c>
      <c r="V33" s="14">
        <f>U33*(1+'Key_Assumptions_&amp;_Inputs'!$E$64)</f>
        <v>5.7335431411205333E-2</v>
      </c>
      <c r="W33" s="14">
        <f>V33*(1+'Key_Assumptions_&amp;_Inputs'!$E$64)</f>
        <v>5.892935640443684E-2</v>
      </c>
      <c r="X33" s="14">
        <f>W33*(1+'Key_Assumptions_&amp;_Inputs'!$E$64)</f>
        <v>6.0567592512480187E-2</v>
      </c>
      <c r="Y33" s="14">
        <f>X33*(1+'Key_Assumptions_&amp;_Inputs'!$E$64)</f>
        <v>6.2251371584327142E-2</v>
      </c>
      <c r="Z33" s="14">
        <f>Y33*(1+'Key_Assumptions_&amp;_Inputs'!$E$64)</f>
        <v>6.3981959714371442E-2</v>
      </c>
      <c r="AA33" s="14">
        <f>Z33*(1+'Key_Assumptions_&amp;_Inputs'!$E$64)</f>
        <v>6.5760658194430971E-2</v>
      </c>
      <c r="AB33" s="14">
        <f>AA33*(1+'Key_Assumptions_&amp;_Inputs'!$E$64)</f>
        <v>6.7588804492236157E-2</v>
      </c>
      <c r="AC33" s="17">
        <f>AB33*(1+'Key_Assumptions_&amp;_Inputs'!$E$64)</f>
        <v>6.9467773257120322E-2</v>
      </c>
    </row>
    <row r="34" spans="1:30" s="257" customFormat="1" x14ac:dyDescent="0.25">
      <c r="A34" s="773"/>
      <c r="C34" s="24" t="s">
        <v>54</v>
      </c>
      <c r="D34" s="237">
        <f>'Key_Assumptions_&amp;_Inputs'!E46</f>
        <v>3.5000000000000003E-2</v>
      </c>
      <c r="E34" s="14">
        <f>D34*(1+'Key_Assumptions_&amp;_Inputs'!$E$64)</f>
        <v>3.5973000000000005E-2</v>
      </c>
      <c r="F34" s="14">
        <f>E34*(1+'Key_Assumptions_&amp;_Inputs'!$E$64)</f>
        <v>3.6973049400000006E-2</v>
      </c>
      <c r="G34" s="14">
        <f>F34*(1+'Key_Assumptions_&amp;_Inputs'!$E$64)</f>
        <v>3.8000900173320008E-2</v>
      </c>
      <c r="H34" s="14">
        <f>G34*(1+'Key_Assumptions_&amp;_Inputs'!$E$64)</f>
        <v>3.9057325198138308E-2</v>
      </c>
      <c r="I34" s="14">
        <f>H34*(1+'Key_Assumptions_&amp;_Inputs'!$E$64)</f>
        <v>4.0143118838646553E-2</v>
      </c>
      <c r="J34" s="14">
        <f>I34*(1+'Key_Assumptions_&amp;_Inputs'!$E$64)</f>
        <v>4.1259097542360929E-2</v>
      </c>
      <c r="K34" s="14">
        <f>J34*(1+'Key_Assumptions_&amp;_Inputs'!$E$64)</f>
        <v>4.2406100454038566E-2</v>
      </c>
      <c r="L34" s="14">
        <f>K34*(1+'Key_Assumptions_&amp;_Inputs'!$E$64)</f>
        <v>4.3584990046660839E-2</v>
      </c>
      <c r="M34" s="14">
        <f>L34*(1+'Key_Assumptions_&amp;_Inputs'!$E$64)</f>
        <v>4.4796652769958013E-2</v>
      </c>
      <c r="N34" s="14">
        <f>M34*(1+'Key_Assumptions_&amp;_Inputs'!$E$64)</f>
        <v>4.604199971696285E-2</v>
      </c>
      <c r="O34" s="14">
        <f>N34*(1+'Key_Assumptions_&amp;_Inputs'!$E$64)</f>
        <v>4.7321967309094423E-2</v>
      </c>
      <c r="P34" s="14">
        <f>O34*(1+'Key_Assumptions_&amp;_Inputs'!$E$64)</f>
        <v>4.8637518000287247E-2</v>
      </c>
      <c r="Q34" s="14">
        <f>P34*(1+'Key_Assumptions_&amp;_Inputs'!$E$64)</f>
        <v>4.9989641000695237E-2</v>
      </c>
      <c r="R34" s="14">
        <f>Q34*(1+'Key_Assumptions_&amp;_Inputs'!$E$64)</f>
        <v>5.1379353020514565E-2</v>
      </c>
      <c r="S34" s="14">
        <f>R34*(1+'Key_Assumptions_&amp;_Inputs'!$E$64)</f>
        <v>5.2807699034484873E-2</v>
      </c>
      <c r="T34" s="14">
        <f>S34*(1+'Key_Assumptions_&amp;_Inputs'!$E$64)</f>
        <v>5.4275753067643553E-2</v>
      </c>
      <c r="U34" s="14">
        <f>T34*(1+'Key_Assumptions_&amp;_Inputs'!$E$64)</f>
        <v>5.5784619002924044E-2</v>
      </c>
      <c r="V34" s="14">
        <f>U34*(1+'Key_Assumptions_&amp;_Inputs'!$E$64)</f>
        <v>5.7335431411205333E-2</v>
      </c>
      <c r="W34" s="14">
        <f>V34*(1+'Key_Assumptions_&amp;_Inputs'!$E$64)</f>
        <v>5.892935640443684E-2</v>
      </c>
      <c r="X34" s="14">
        <f>W34*(1+'Key_Assumptions_&amp;_Inputs'!$E$64)</f>
        <v>6.0567592512480187E-2</v>
      </c>
      <c r="Y34" s="14">
        <f>X34*(1+'Key_Assumptions_&amp;_Inputs'!$E$64)</f>
        <v>6.2251371584327142E-2</v>
      </c>
      <c r="Z34" s="14">
        <f>Y34*(1+'Key_Assumptions_&amp;_Inputs'!$E$64)</f>
        <v>6.3981959714371442E-2</v>
      </c>
      <c r="AA34" s="14">
        <f>Z34*(1+'Key_Assumptions_&amp;_Inputs'!$E$64)</f>
        <v>6.5760658194430971E-2</v>
      </c>
      <c r="AB34" s="14">
        <f>AA34*(1+'Key_Assumptions_&amp;_Inputs'!$E$64)</f>
        <v>6.7588804492236157E-2</v>
      </c>
      <c r="AC34" s="17">
        <f>AB34*(1+'Key_Assumptions_&amp;_Inputs'!$E$64)</f>
        <v>6.9467773257120322E-2</v>
      </c>
    </row>
    <row r="35" spans="1:30" s="257" customFormat="1" x14ac:dyDescent="0.25">
      <c r="A35" s="773"/>
      <c r="C35" s="24" t="s">
        <v>55</v>
      </c>
      <c r="D35" s="237">
        <f>'Key_Assumptions_&amp;_Inputs'!E47</f>
        <v>3.5000000000000003E-2</v>
      </c>
      <c r="E35" s="14">
        <f>D35*(1+'Key_Assumptions_&amp;_Inputs'!$E$64)</f>
        <v>3.5973000000000005E-2</v>
      </c>
      <c r="F35" s="14">
        <f>E35*(1+'Key_Assumptions_&amp;_Inputs'!$E$64)</f>
        <v>3.6973049400000006E-2</v>
      </c>
      <c r="G35" s="14">
        <f>F35*(1+'Key_Assumptions_&amp;_Inputs'!$E$64)</f>
        <v>3.8000900173320008E-2</v>
      </c>
      <c r="H35" s="14">
        <f>G35*(1+'Key_Assumptions_&amp;_Inputs'!$E$64)</f>
        <v>3.9057325198138308E-2</v>
      </c>
      <c r="I35" s="14">
        <f>H35*(1+'Key_Assumptions_&amp;_Inputs'!$E$64)</f>
        <v>4.0143118838646553E-2</v>
      </c>
      <c r="J35" s="14">
        <f>I35*(1+'Key_Assumptions_&amp;_Inputs'!$E$64)</f>
        <v>4.1259097542360929E-2</v>
      </c>
      <c r="K35" s="14">
        <f>J35*(1+'Key_Assumptions_&amp;_Inputs'!$E$64)</f>
        <v>4.2406100454038566E-2</v>
      </c>
      <c r="L35" s="14">
        <f>K35*(1+'Key_Assumptions_&amp;_Inputs'!$E$64)</f>
        <v>4.3584990046660839E-2</v>
      </c>
      <c r="M35" s="14">
        <f>L35*(1+'Key_Assumptions_&amp;_Inputs'!$E$64)</f>
        <v>4.4796652769958013E-2</v>
      </c>
      <c r="N35" s="14">
        <f>M35*(1+'Key_Assumptions_&amp;_Inputs'!$E$64)</f>
        <v>4.604199971696285E-2</v>
      </c>
      <c r="O35" s="14">
        <f>N35*(1+'Key_Assumptions_&amp;_Inputs'!$E$64)</f>
        <v>4.7321967309094423E-2</v>
      </c>
      <c r="P35" s="14">
        <f>O35*(1+'Key_Assumptions_&amp;_Inputs'!$E$64)</f>
        <v>4.8637518000287247E-2</v>
      </c>
      <c r="Q35" s="14">
        <f>P35*(1+'Key_Assumptions_&amp;_Inputs'!$E$64)</f>
        <v>4.9989641000695237E-2</v>
      </c>
      <c r="R35" s="14">
        <f>Q35*(1+'Key_Assumptions_&amp;_Inputs'!$E$64)</f>
        <v>5.1379353020514565E-2</v>
      </c>
      <c r="S35" s="14">
        <f>R35*(1+'Key_Assumptions_&amp;_Inputs'!$E$64)</f>
        <v>5.2807699034484873E-2</v>
      </c>
      <c r="T35" s="14">
        <f>S35*(1+'Key_Assumptions_&amp;_Inputs'!$E$64)</f>
        <v>5.4275753067643553E-2</v>
      </c>
      <c r="U35" s="14">
        <f>T35*(1+'Key_Assumptions_&amp;_Inputs'!$E$64)</f>
        <v>5.5784619002924044E-2</v>
      </c>
      <c r="V35" s="14">
        <f>U35*(1+'Key_Assumptions_&amp;_Inputs'!$E$64)</f>
        <v>5.7335431411205333E-2</v>
      </c>
      <c r="W35" s="14">
        <f>V35*(1+'Key_Assumptions_&amp;_Inputs'!$E$64)</f>
        <v>5.892935640443684E-2</v>
      </c>
      <c r="X35" s="14">
        <f>W35*(1+'Key_Assumptions_&amp;_Inputs'!$E$64)</f>
        <v>6.0567592512480187E-2</v>
      </c>
      <c r="Y35" s="14">
        <f>X35*(1+'Key_Assumptions_&amp;_Inputs'!$E$64)</f>
        <v>6.2251371584327142E-2</v>
      </c>
      <c r="Z35" s="14">
        <f>Y35*(1+'Key_Assumptions_&amp;_Inputs'!$E$64)</f>
        <v>6.3981959714371442E-2</v>
      </c>
      <c r="AA35" s="14">
        <f>Z35*(1+'Key_Assumptions_&amp;_Inputs'!$E$64)</f>
        <v>6.5760658194430971E-2</v>
      </c>
      <c r="AB35" s="14">
        <f>AA35*(1+'Key_Assumptions_&amp;_Inputs'!$E$64)</f>
        <v>6.7588804492236157E-2</v>
      </c>
      <c r="AC35" s="17">
        <f>AB35*(1+'Key_Assumptions_&amp;_Inputs'!$E$64)</f>
        <v>6.9467773257120322E-2</v>
      </c>
    </row>
    <row r="36" spans="1:30" s="257" customFormat="1" x14ac:dyDescent="0.25">
      <c r="A36" s="773"/>
      <c r="C36" s="24" t="s">
        <v>56</v>
      </c>
      <c r="D36" s="237">
        <f>'Key_Assumptions_&amp;_Inputs'!E48</f>
        <v>3.5000000000000003E-2</v>
      </c>
      <c r="E36" s="14">
        <f>D36*(1+'Key_Assumptions_&amp;_Inputs'!$E$64)</f>
        <v>3.5973000000000005E-2</v>
      </c>
      <c r="F36" s="14">
        <f>E36*(1+'Key_Assumptions_&amp;_Inputs'!$E$64)</f>
        <v>3.6973049400000006E-2</v>
      </c>
      <c r="G36" s="14">
        <f>F36*(1+'Key_Assumptions_&amp;_Inputs'!$E$64)</f>
        <v>3.8000900173320008E-2</v>
      </c>
      <c r="H36" s="14">
        <f>G36*(1+'Key_Assumptions_&amp;_Inputs'!$E$64)</f>
        <v>3.9057325198138308E-2</v>
      </c>
      <c r="I36" s="14">
        <f>H36*(1+'Key_Assumptions_&amp;_Inputs'!$E$64)</f>
        <v>4.0143118838646553E-2</v>
      </c>
      <c r="J36" s="14">
        <f>I36*(1+'Key_Assumptions_&amp;_Inputs'!$E$64)</f>
        <v>4.1259097542360929E-2</v>
      </c>
      <c r="K36" s="14">
        <f>J36*(1+'Key_Assumptions_&amp;_Inputs'!$E$64)</f>
        <v>4.2406100454038566E-2</v>
      </c>
      <c r="L36" s="14">
        <f>K36*(1+'Key_Assumptions_&amp;_Inputs'!$E$64)</f>
        <v>4.3584990046660839E-2</v>
      </c>
      <c r="M36" s="14">
        <f>L36*(1+'Key_Assumptions_&amp;_Inputs'!$E$64)</f>
        <v>4.4796652769958013E-2</v>
      </c>
      <c r="N36" s="14">
        <f>M36*(1+'Key_Assumptions_&amp;_Inputs'!$E$64)</f>
        <v>4.604199971696285E-2</v>
      </c>
      <c r="O36" s="14">
        <f>N36*(1+'Key_Assumptions_&amp;_Inputs'!$E$64)</f>
        <v>4.7321967309094423E-2</v>
      </c>
      <c r="P36" s="14">
        <f>O36*(1+'Key_Assumptions_&amp;_Inputs'!$E$64)</f>
        <v>4.8637518000287247E-2</v>
      </c>
      <c r="Q36" s="14">
        <f>P36*(1+'Key_Assumptions_&amp;_Inputs'!$E$64)</f>
        <v>4.9989641000695237E-2</v>
      </c>
      <c r="R36" s="14">
        <f>Q36*(1+'Key_Assumptions_&amp;_Inputs'!$E$64)</f>
        <v>5.1379353020514565E-2</v>
      </c>
      <c r="S36" s="14">
        <f>R36*(1+'Key_Assumptions_&amp;_Inputs'!$E$64)</f>
        <v>5.2807699034484873E-2</v>
      </c>
      <c r="T36" s="14">
        <f>S36*(1+'Key_Assumptions_&amp;_Inputs'!$E$64)</f>
        <v>5.4275753067643553E-2</v>
      </c>
      <c r="U36" s="14">
        <f>T36*(1+'Key_Assumptions_&amp;_Inputs'!$E$64)</f>
        <v>5.5784619002924044E-2</v>
      </c>
      <c r="V36" s="14">
        <f>U36*(1+'Key_Assumptions_&amp;_Inputs'!$E$64)</f>
        <v>5.7335431411205333E-2</v>
      </c>
      <c r="W36" s="14">
        <f>V36*(1+'Key_Assumptions_&amp;_Inputs'!$E$64)</f>
        <v>5.892935640443684E-2</v>
      </c>
      <c r="X36" s="14">
        <f>W36*(1+'Key_Assumptions_&amp;_Inputs'!$E$64)</f>
        <v>6.0567592512480187E-2</v>
      </c>
      <c r="Y36" s="14">
        <f>X36*(1+'Key_Assumptions_&amp;_Inputs'!$E$64)</f>
        <v>6.2251371584327142E-2</v>
      </c>
      <c r="Z36" s="14">
        <f>Y36*(1+'Key_Assumptions_&amp;_Inputs'!$E$64)</f>
        <v>6.3981959714371442E-2</v>
      </c>
      <c r="AA36" s="14">
        <f>Z36*(1+'Key_Assumptions_&amp;_Inputs'!$E$64)</f>
        <v>6.5760658194430971E-2</v>
      </c>
      <c r="AB36" s="14">
        <f>AA36*(1+'Key_Assumptions_&amp;_Inputs'!$E$64)</f>
        <v>6.7588804492236157E-2</v>
      </c>
      <c r="AC36" s="17">
        <f>AB36*(1+'Key_Assumptions_&amp;_Inputs'!$E$64)</f>
        <v>6.9467773257120322E-2</v>
      </c>
    </row>
    <row r="37" spans="1:30" s="257" customFormat="1" ht="15.75" thickBot="1" x14ac:dyDescent="0.3">
      <c r="A37" s="773"/>
      <c r="C37" s="25" t="s">
        <v>57</v>
      </c>
      <c r="D37" s="238">
        <f>'Key_Assumptions_&amp;_Inputs'!E49</f>
        <v>3.5000000000000003E-2</v>
      </c>
      <c r="E37" s="18">
        <f>D37*(1+'Key_Assumptions_&amp;_Inputs'!$E$64)</f>
        <v>3.5973000000000005E-2</v>
      </c>
      <c r="F37" s="18">
        <f>E37*(1+'Key_Assumptions_&amp;_Inputs'!$E$64)</f>
        <v>3.6973049400000006E-2</v>
      </c>
      <c r="G37" s="18">
        <f>F37*(1+'Key_Assumptions_&amp;_Inputs'!$E$64)</f>
        <v>3.8000900173320008E-2</v>
      </c>
      <c r="H37" s="18">
        <f>G37*(1+'Key_Assumptions_&amp;_Inputs'!$E$64)</f>
        <v>3.9057325198138308E-2</v>
      </c>
      <c r="I37" s="18">
        <f>H37*(1+'Key_Assumptions_&amp;_Inputs'!$E$64)</f>
        <v>4.0143118838646553E-2</v>
      </c>
      <c r="J37" s="18">
        <f>I37*(1+'Key_Assumptions_&amp;_Inputs'!$E$64)</f>
        <v>4.1259097542360929E-2</v>
      </c>
      <c r="K37" s="18">
        <f>J37*(1+'Key_Assumptions_&amp;_Inputs'!$E$64)</f>
        <v>4.2406100454038566E-2</v>
      </c>
      <c r="L37" s="18">
        <f>K37*(1+'Key_Assumptions_&amp;_Inputs'!$E$64)</f>
        <v>4.3584990046660839E-2</v>
      </c>
      <c r="M37" s="18">
        <f>L37*(1+'Key_Assumptions_&amp;_Inputs'!$E$64)</f>
        <v>4.4796652769958013E-2</v>
      </c>
      <c r="N37" s="18">
        <f>M37*(1+'Key_Assumptions_&amp;_Inputs'!$E$64)</f>
        <v>4.604199971696285E-2</v>
      </c>
      <c r="O37" s="18">
        <f>N37*(1+'Key_Assumptions_&amp;_Inputs'!$E$64)</f>
        <v>4.7321967309094423E-2</v>
      </c>
      <c r="P37" s="18">
        <f>O37*(1+'Key_Assumptions_&amp;_Inputs'!$E$64)</f>
        <v>4.8637518000287247E-2</v>
      </c>
      <c r="Q37" s="18">
        <f>P37*(1+'Key_Assumptions_&amp;_Inputs'!$E$64)</f>
        <v>4.9989641000695237E-2</v>
      </c>
      <c r="R37" s="18">
        <f>Q37*(1+'Key_Assumptions_&amp;_Inputs'!$E$64)</f>
        <v>5.1379353020514565E-2</v>
      </c>
      <c r="S37" s="18">
        <f>R37*(1+'Key_Assumptions_&amp;_Inputs'!$E$64)</f>
        <v>5.2807699034484873E-2</v>
      </c>
      <c r="T37" s="18">
        <f>S37*(1+'Key_Assumptions_&amp;_Inputs'!$E$64)</f>
        <v>5.4275753067643553E-2</v>
      </c>
      <c r="U37" s="18">
        <f>T37*(1+'Key_Assumptions_&amp;_Inputs'!$E$64)</f>
        <v>5.5784619002924044E-2</v>
      </c>
      <c r="V37" s="18">
        <f>U37*(1+'Key_Assumptions_&amp;_Inputs'!$E$64)</f>
        <v>5.7335431411205333E-2</v>
      </c>
      <c r="W37" s="18">
        <f>V37*(1+'Key_Assumptions_&amp;_Inputs'!$E$64)</f>
        <v>5.892935640443684E-2</v>
      </c>
      <c r="X37" s="18">
        <f>W37*(1+'Key_Assumptions_&amp;_Inputs'!$E$64)</f>
        <v>6.0567592512480187E-2</v>
      </c>
      <c r="Y37" s="18">
        <f>X37*(1+'Key_Assumptions_&amp;_Inputs'!$E$64)</f>
        <v>6.2251371584327142E-2</v>
      </c>
      <c r="Z37" s="18">
        <f>Y37*(1+'Key_Assumptions_&amp;_Inputs'!$E$64)</f>
        <v>6.3981959714371442E-2</v>
      </c>
      <c r="AA37" s="18">
        <f>Z37*(1+'Key_Assumptions_&amp;_Inputs'!$E$64)</f>
        <v>6.5760658194430971E-2</v>
      </c>
      <c r="AB37" s="18">
        <f>AA37*(1+'Key_Assumptions_&amp;_Inputs'!$E$64)</f>
        <v>6.7588804492236157E-2</v>
      </c>
      <c r="AC37" s="19">
        <f>AB37*(1+'Key_Assumptions_&amp;_Inputs'!$E$64)</f>
        <v>6.9467773257120322E-2</v>
      </c>
    </row>
    <row r="38" spans="1:30" s="257" customFormat="1" x14ac:dyDescent="0.25">
      <c r="A38" s="7"/>
      <c r="B38" s="7"/>
      <c r="C38" s="14"/>
      <c r="D38" s="239"/>
      <c r="E38" s="14"/>
      <c r="F38" s="14"/>
      <c r="G38" s="14"/>
      <c r="H38" s="14"/>
      <c r="I38" s="14"/>
      <c r="J38" s="14"/>
      <c r="K38" s="14"/>
      <c r="L38" s="14"/>
      <c r="M38" s="14"/>
      <c r="N38" s="14"/>
      <c r="O38" s="14"/>
      <c r="P38" s="14"/>
      <c r="Q38" s="14"/>
      <c r="R38" s="14"/>
      <c r="S38" s="14"/>
      <c r="T38" s="14"/>
      <c r="U38" s="14"/>
      <c r="V38" s="14"/>
      <c r="W38" s="14"/>
      <c r="X38" s="14"/>
      <c r="Y38" s="14"/>
      <c r="Z38" s="14"/>
      <c r="AA38" s="14"/>
      <c r="AB38" s="14"/>
      <c r="AC38" s="14"/>
    </row>
    <row r="39" spans="1:30" s="257" customFormat="1" x14ac:dyDescent="0.25">
      <c r="A39" s="7"/>
      <c r="B39" s="7"/>
      <c r="C39" s="14"/>
      <c r="D39" s="239"/>
      <c r="E39" s="14"/>
      <c r="F39" s="14"/>
      <c r="G39" s="14"/>
      <c r="H39" s="14"/>
      <c r="I39" s="14"/>
      <c r="J39" s="14"/>
      <c r="K39" s="14"/>
      <c r="L39" s="14"/>
      <c r="M39" s="14"/>
      <c r="N39" s="14"/>
      <c r="O39" s="14"/>
      <c r="P39" s="14"/>
      <c r="Q39" s="14"/>
      <c r="R39" s="14"/>
      <c r="S39" s="14"/>
      <c r="T39" s="14"/>
      <c r="U39" s="14"/>
      <c r="V39" s="14"/>
      <c r="W39" s="14"/>
      <c r="X39" s="14"/>
      <c r="Y39" s="14"/>
      <c r="Z39" s="14"/>
      <c r="AA39" s="14"/>
      <c r="AB39" s="14"/>
      <c r="AC39" s="14"/>
    </row>
    <row r="40" spans="1:30" ht="15.75" thickBot="1" x14ac:dyDescent="0.3">
      <c r="A40" s="7"/>
      <c r="C40" s="15" t="s">
        <v>66</v>
      </c>
    </row>
    <row r="41" spans="1:30" s="292" customFormat="1" x14ac:dyDescent="0.25">
      <c r="A41" s="297"/>
      <c r="C41" s="298" t="s">
        <v>58</v>
      </c>
      <c r="D41" s="294" t="s">
        <v>209</v>
      </c>
      <c r="E41" s="305">
        <v>2016</v>
      </c>
      <c r="F41" s="305">
        <v>2017</v>
      </c>
      <c r="G41" s="305">
        <v>2018</v>
      </c>
      <c r="H41" s="305">
        <v>2019</v>
      </c>
      <c r="I41" s="305">
        <v>2020</v>
      </c>
      <c r="J41" s="305">
        <v>2021</v>
      </c>
      <c r="K41" s="305">
        <v>2022</v>
      </c>
      <c r="L41" s="305">
        <v>2023</v>
      </c>
      <c r="M41" s="305">
        <v>2024</v>
      </c>
      <c r="N41" s="305">
        <v>2025</v>
      </c>
      <c r="O41" s="305">
        <v>2026</v>
      </c>
      <c r="P41" s="305">
        <v>2027</v>
      </c>
      <c r="Q41" s="305">
        <v>2028</v>
      </c>
      <c r="R41" s="305">
        <v>2029</v>
      </c>
      <c r="S41" s="305">
        <v>2030</v>
      </c>
      <c r="T41" s="305">
        <v>2031</v>
      </c>
      <c r="U41" s="305">
        <v>2032</v>
      </c>
      <c r="V41" s="305">
        <v>2033</v>
      </c>
      <c r="W41" s="305">
        <v>2034</v>
      </c>
      <c r="X41" s="305">
        <v>2035</v>
      </c>
      <c r="Y41" s="305">
        <v>2036</v>
      </c>
      <c r="Z41" s="305">
        <v>2037</v>
      </c>
      <c r="AA41" s="305">
        <v>2038</v>
      </c>
      <c r="AB41" s="305">
        <v>2039</v>
      </c>
      <c r="AC41" s="306">
        <v>2040</v>
      </c>
      <c r="AD41" s="299"/>
    </row>
    <row r="42" spans="1:30" x14ac:dyDescent="0.25">
      <c r="A42" s="26"/>
      <c r="C42" s="24" t="s">
        <v>46</v>
      </c>
      <c r="D42" s="597">
        <v>81785</v>
      </c>
      <c r="E42" s="20">
        <f>($D42)*(1-((E$7-1)*('Key_Assumptions_&amp;_Inputs'!$E$34)))</f>
        <v>81785</v>
      </c>
      <c r="F42" s="20">
        <f>($D42)*(1-((F$7-1)*('Key_Assumptions_&amp;_Inputs'!$E$34)))</f>
        <v>81376.074999999997</v>
      </c>
      <c r="G42" s="20">
        <f>($D42)*(1-((G$7-1)*('Key_Assumptions_&amp;_Inputs'!$E$34)))</f>
        <v>80967.149999999994</v>
      </c>
      <c r="H42" s="20">
        <f>($D42)*(1-((H$7-1)*('Key_Assumptions_&amp;_Inputs'!$E$34)))</f>
        <v>80558.225000000006</v>
      </c>
      <c r="I42" s="20">
        <f>($D42)*(1-((I$7-1)*('Key_Assumptions_&amp;_Inputs'!$E$34)))</f>
        <v>80149.3</v>
      </c>
      <c r="J42" s="20">
        <f>($D42)*(1-((J$7-1)*('Key_Assumptions_&amp;_Inputs'!$E$34)))</f>
        <v>79740.375</v>
      </c>
      <c r="K42" s="20">
        <f>($D42)*(1-((K$7-1)*('Key_Assumptions_&amp;_Inputs'!$E$34)))</f>
        <v>79331.45</v>
      </c>
      <c r="L42" s="20">
        <f>($D42)*(1-((L$7-1)*('Key_Assumptions_&amp;_Inputs'!$E$34)))</f>
        <v>78922.524999999994</v>
      </c>
      <c r="M42" s="20">
        <f>($D42)*(1-((M$7-1)*('Key_Assumptions_&amp;_Inputs'!$E$34)))</f>
        <v>78513.599999999991</v>
      </c>
      <c r="N42" s="20">
        <f>($D42)*(1-((N$7-1)*('Key_Assumptions_&amp;_Inputs'!$E$34)))</f>
        <v>78104.675000000003</v>
      </c>
      <c r="O42" s="20">
        <f>($D42)*(1-((O$7-1)*('Key_Assumptions_&amp;_Inputs'!$E$34)))</f>
        <v>77695.75</v>
      </c>
      <c r="P42" s="20">
        <f>($D42)*(1-((P$7-1)*('Key_Assumptions_&amp;_Inputs'!$E$34)))</f>
        <v>77286.824999999997</v>
      </c>
      <c r="Q42" s="20">
        <f>($D42)*(1-((Q$7-1)*('Key_Assumptions_&amp;_Inputs'!$E$34)))</f>
        <v>76877.899999999994</v>
      </c>
      <c r="R42" s="20">
        <f>($D42)*(1-((R$7-1)*('Key_Assumptions_&amp;_Inputs'!$E$34)))</f>
        <v>76468.975000000006</v>
      </c>
      <c r="S42" s="20">
        <f>($D42)*(1-((S$7-1)*('Key_Assumptions_&amp;_Inputs'!$E$34)))</f>
        <v>76060.049999999988</v>
      </c>
      <c r="T42" s="20">
        <f>($D42)*(1-((T$7-1)*('Key_Assumptions_&amp;_Inputs'!$E$34)))</f>
        <v>75651.125</v>
      </c>
      <c r="U42" s="20">
        <f>($D42)*(1-((U$7-1)*('Key_Assumptions_&amp;_Inputs'!$E$34)))</f>
        <v>75242.2</v>
      </c>
      <c r="V42" s="20">
        <f>($D42)*(1-((V$7-1)*('Key_Assumptions_&amp;_Inputs'!$E$34)))</f>
        <v>74833.275000000009</v>
      </c>
      <c r="W42" s="20">
        <f>($D42)*(1-((W$7-1)*('Key_Assumptions_&amp;_Inputs'!$E$34)))</f>
        <v>74424.350000000006</v>
      </c>
      <c r="X42" s="20">
        <f>($D42)*(1-((X$7-1)*('Key_Assumptions_&amp;_Inputs'!$E$34)))</f>
        <v>74015.425000000003</v>
      </c>
      <c r="Y42" s="20">
        <f>($D42)*(1-((Y$7-1)*('Key_Assumptions_&amp;_Inputs'!$E$34)))</f>
        <v>73606.5</v>
      </c>
      <c r="Z42" s="20">
        <f>($D42)*(1-((Z$7-1)*('Key_Assumptions_&amp;_Inputs'!$E$34)))</f>
        <v>73197.574999999997</v>
      </c>
      <c r="AA42" s="20">
        <f>($D42)*(1-((AA$7-1)*('Key_Assumptions_&amp;_Inputs'!$E$34)))</f>
        <v>72788.649999999994</v>
      </c>
      <c r="AB42" s="20">
        <f>($D42)*(1-((AB$7-1)*('Key_Assumptions_&amp;_Inputs'!$E$34)))</f>
        <v>72379.725000000006</v>
      </c>
      <c r="AC42" s="36">
        <f>($D42)*(1-((AC$7-1)*('Key_Assumptions_&amp;_Inputs'!$E$34)))</f>
        <v>71970.8</v>
      </c>
    </row>
    <row r="43" spans="1:30" x14ac:dyDescent="0.25">
      <c r="A43" s="26"/>
      <c r="C43" s="24" t="s">
        <v>47</v>
      </c>
      <c r="D43" s="597">
        <v>103394</v>
      </c>
      <c r="E43" s="20">
        <f>($D43)*(1-((E$7-1)*('Key_Assumptions_&amp;_Inputs'!$E$34)))</f>
        <v>103394</v>
      </c>
      <c r="F43" s="20">
        <f>($D43)*(1-((F$7-1)*('Key_Assumptions_&amp;_Inputs'!$E$34)))</f>
        <v>102877.03</v>
      </c>
      <c r="G43" s="20">
        <f>($D43)*(1-((G$7-1)*('Key_Assumptions_&amp;_Inputs'!$E$34)))</f>
        <v>102360.06</v>
      </c>
      <c r="H43" s="20">
        <f>($D43)*(1-((H$7-1)*('Key_Assumptions_&amp;_Inputs'!$E$34)))</f>
        <v>101843.09</v>
      </c>
      <c r="I43" s="20">
        <f>($D43)*(1-((I$7-1)*('Key_Assumptions_&amp;_Inputs'!$E$34)))</f>
        <v>101326.12</v>
      </c>
      <c r="J43" s="20">
        <f>($D43)*(1-((J$7-1)*('Key_Assumptions_&amp;_Inputs'!$E$34)))</f>
        <v>100809.15</v>
      </c>
      <c r="K43" s="20">
        <f>($D43)*(1-((K$7-1)*('Key_Assumptions_&amp;_Inputs'!$E$34)))</f>
        <v>100292.18</v>
      </c>
      <c r="L43" s="20">
        <f>($D43)*(1-((L$7-1)*('Key_Assumptions_&amp;_Inputs'!$E$34)))</f>
        <v>99775.209999999992</v>
      </c>
      <c r="M43" s="20">
        <f>($D43)*(1-((M$7-1)*('Key_Assumptions_&amp;_Inputs'!$E$34)))</f>
        <v>99258.239999999991</v>
      </c>
      <c r="N43" s="20">
        <f>($D43)*(1-((N$7-1)*('Key_Assumptions_&amp;_Inputs'!$E$34)))</f>
        <v>98741.26999999999</v>
      </c>
      <c r="O43" s="20">
        <f>($D43)*(1-((O$7-1)*('Key_Assumptions_&amp;_Inputs'!$E$34)))</f>
        <v>98224.299999999988</v>
      </c>
      <c r="P43" s="20">
        <f>($D43)*(1-((P$7-1)*('Key_Assumptions_&amp;_Inputs'!$E$34)))</f>
        <v>97707.33</v>
      </c>
      <c r="Q43" s="20">
        <f>($D43)*(1-((Q$7-1)*('Key_Assumptions_&amp;_Inputs'!$E$34)))</f>
        <v>97190.36</v>
      </c>
      <c r="R43" s="20">
        <f>($D43)*(1-((R$7-1)*('Key_Assumptions_&amp;_Inputs'!$E$34)))</f>
        <v>96673.39</v>
      </c>
      <c r="S43" s="20">
        <f>($D43)*(1-((S$7-1)*('Key_Assumptions_&amp;_Inputs'!$E$34)))</f>
        <v>96156.42</v>
      </c>
      <c r="T43" s="20">
        <f>($D43)*(1-((T$7-1)*('Key_Assumptions_&amp;_Inputs'!$E$34)))</f>
        <v>95639.450000000012</v>
      </c>
      <c r="U43" s="20">
        <f>($D43)*(1-((U$7-1)*('Key_Assumptions_&amp;_Inputs'!$E$34)))</f>
        <v>95122.48000000001</v>
      </c>
      <c r="V43" s="20">
        <f>($D43)*(1-((V$7-1)*('Key_Assumptions_&amp;_Inputs'!$E$34)))</f>
        <v>94605.510000000009</v>
      </c>
      <c r="W43" s="20">
        <f>($D43)*(1-((W$7-1)*('Key_Assumptions_&amp;_Inputs'!$E$34)))</f>
        <v>94088.540000000008</v>
      </c>
      <c r="X43" s="20">
        <f>($D43)*(1-((X$7-1)*('Key_Assumptions_&amp;_Inputs'!$E$34)))</f>
        <v>93571.57</v>
      </c>
      <c r="Y43" s="20">
        <f>($D43)*(1-((Y$7-1)*('Key_Assumptions_&amp;_Inputs'!$E$34)))</f>
        <v>93054.6</v>
      </c>
      <c r="Z43" s="20">
        <f>($D43)*(1-((Z$7-1)*('Key_Assumptions_&amp;_Inputs'!$E$34)))</f>
        <v>92537.63</v>
      </c>
      <c r="AA43" s="20">
        <f>($D43)*(1-((AA$7-1)*('Key_Assumptions_&amp;_Inputs'!$E$34)))</f>
        <v>92020.66</v>
      </c>
      <c r="AB43" s="20">
        <f>($D43)*(1-((AB$7-1)*('Key_Assumptions_&amp;_Inputs'!$E$34)))</f>
        <v>91503.69</v>
      </c>
      <c r="AC43" s="36">
        <f>($D43)*(1-((AC$7-1)*('Key_Assumptions_&amp;_Inputs'!$E$34)))</f>
        <v>90986.72</v>
      </c>
    </row>
    <row r="44" spans="1:30" x14ac:dyDescent="0.25">
      <c r="A44" s="26"/>
      <c r="C44" s="24" t="s">
        <v>48</v>
      </c>
      <c r="D44" s="597">
        <v>148104</v>
      </c>
      <c r="E44" s="20">
        <f>($D44)*(1-((E$7-1)*('Key_Assumptions_&amp;_Inputs'!$E$34)))</f>
        <v>148104</v>
      </c>
      <c r="F44" s="20">
        <f>($D44)*(1-((F$7-1)*('Key_Assumptions_&amp;_Inputs'!$E$34)))</f>
        <v>147363.48000000001</v>
      </c>
      <c r="G44" s="20">
        <f>($D44)*(1-((G$7-1)*('Key_Assumptions_&amp;_Inputs'!$E$34)))</f>
        <v>146622.96</v>
      </c>
      <c r="H44" s="20">
        <f>($D44)*(1-((H$7-1)*('Key_Assumptions_&amp;_Inputs'!$E$34)))</f>
        <v>145882.44</v>
      </c>
      <c r="I44" s="20">
        <f>($D44)*(1-((I$7-1)*('Key_Assumptions_&amp;_Inputs'!$E$34)))</f>
        <v>145141.91999999998</v>
      </c>
      <c r="J44" s="20">
        <f>($D44)*(1-((J$7-1)*('Key_Assumptions_&amp;_Inputs'!$E$34)))</f>
        <v>144401.4</v>
      </c>
      <c r="K44" s="20">
        <f>($D44)*(1-((K$7-1)*('Key_Assumptions_&amp;_Inputs'!$E$34)))</f>
        <v>143660.88</v>
      </c>
      <c r="L44" s="20">
        <f>($D44)*(1-((L$7-1)*('Key_Assumptions_&amp;_Inputs'!$E$34)))</f>
        <v>142920.35999999999</v>
      </c>
      <c r="M44" s="20">
        <f>($D44)*(1-((M$7-1)*('Key_Assumptions_&amp;_Inputs'!$E$34)))</f>
        <v>142179.84</v>
      </c>
      <c r="N44" s="20">
        <f>($D44)*(1-((N$7-1)*('Key_Assumptions_&amp;_Inputs'!$E$34)))</f>
        <v>141439.32</v>
      </c>
      <c r="O44" s="20">
        <f>($D44)*(1-((O$7-1)*('Key_Assumptions_&amp;_Inputs'!$E$34)))</f>
        <v>140698.79999999999</v>
      </c>
      <c r="P44" s="20">
        <f>($D44)*(1-((P$7-1)*('Key_Assumptions_&amp;_Inputs'!$E$34)))</f>
        <v>139958.28</v>
      </c>
      <c r="Q44" s="20">
        <f>($D44)*(1-((Q$7-1)*('Key_Assumptions_&amp;_Inputs'!$E$34)))</f>
        <v>139217.75999999998</v>
      </c>
      <c r="R44" s="20">
        <f>($D44)*(1-((R$7-1)*('Key_Assumptions_&amp;_Inputs'!$E$34)))</f>
        <v>138477.24000000002</v>
      </c>
      <c r="S44" s="20">
        <f>($D44)*(1-((S$7-1)*('Key_Assumptions_&amp;_Inputs'!$E$34)))</f>
        <v>137736.72</v>
      </c>
      <c r="T44" s="20">
        <f>($D44)*(1-((T$7-1)*('Key_Assumptions_&amp;_Inputs'!$E$34)))</f>
        <v>136996.20000000001</v>
      </c>
      <c r="U44" s="20">
        <f>($D44)*(1-((U$7-1)*('Key_Assumptions_&amp;_Inputs'!$E$34)))</f>
        <v>136255.67999999999</v>
      </c>
      <c r="V44" s="20">
        <f>($D44)*(1-((V$7-1)*('Key_Assumptions_&amp;_Inputs'!$E$34)))</f>
        <v>135515.16</v>
      </c>
      <c r="W44" s="20">
        <f>($D44)*(1-((W$7-1)*('Key_Assumptions_&amp;_Inputs'!$E$34)))</f>
        <v>134774.64000000001</v>
      </c>
      <c r="X44" s="20">
        <f>($D44)*(1-((X$7-1)*('Key_Assumptions_&amp;_Inputs'!$E$34)))</f>
        <v>134034.12</v>
      </c>
      <c r="Y44" s="20">
        <f>($D44)*(1-((Y$7-1)*('Key_Assumptions_&amp;_Inputs'!$E$34)))</f>
        <v>133293.6</v>
      </c>
      <c r="Z44" s="20">
        <f>($D44)*(1-((Z$7-1)*('Key_Assumptions_&amp;_Inputs'!$E$34)))</f>
        <v>132553.08000000002</v>
      </c>
      <c r="AA44" s="20">
        <f>($D44)*(1-((AA$7-1)*('Key_Assumptions_&amp;_Inputs'!$E$34)))</f>
        <v>131812.56</v>
      </c>
      <c r="AB44" s="20">
        <f>($D44)*(1-((AB$7-1)*('Key_Assumptions_&amp;_Inputs'!$E$34)))</f>
        <v>131072.04</v>
      </c>
      <c r="AC44" s="36">
        <f>($D44)*(1-((AC$7-1)*('Key_Assumptions_&amp;_Inputs'!$E$34)))</f>
        <v>130331.52</v>
      </c>
    </row>
    <row r="45" spans="1:30" x14ac:dyDescent="0.25">
      <c r="A45" s="26"/>
      <c r="C45" s="24" t="s">
        <v>49</v>
      </c>
      <c r="D45" s="597">
        <v>167643</v>
      </c>
      <c r="E45" s="20">
        <f>($D45)*(1-((E$7-1)*('Key_Assumptions_&amp;_Inputs'!$E$34)))</f>
        <v>167643</v>
      </c>
      <c r="F45" s="20">
        <f>($D45)*(1-((F$7-1)*('Key_Assumptions_&amp;_Inputs'!$E$34)))</f>
        <v>166804.785</v>
      </c>
      <c r="G45" s="20">
        <f>($D45)*(1-((G$7-1)*('Key_Assumptions_&amp;_Inputs'!$E$34)))</f>
        <v>165966.57</v>
      </c>
      <c r="H45" s="20">
        <f>($D45)*(1-((H$7-1)*('Key_Assumptions_&amp;_Inputs'!$E$34)))</f>
        <v>165128.35500000001</v>
      </c>
      <c r="I45" s="20">
        <f>($D45)*(1-((I$7-1)*('Key_Assumptions_&amp;_Inputs'!$E$34)))</f>
        <v>164290.13999999998</v>
      </c>
      <c r="J45" s="20">
        <f>($D45)*(1-((J$7-1)*('Key_Assumptions_&amp;_Inputs'!$E$34)))</f>
        <v>163451.92499999999</v>
      </c>
      <c r="K45" s="20">
        <f>($D45)*(1-((K$7-1)*('Key_Assumptions_&amp;_Inputs'!$E$34)))</f>
        <v>162613.71</v>
      </c>
      <c r="L45" s="20">
        <f>($D45)*(1-((L$7-1)*('Key_Assumptions_&amp;_Inputs'!$E$34)))</f>
        <v>161775.495</v>
      </c>
      <c r="M45" s="20">
        <f>($D45)*(1-((M$7-1)*('Key_Assumptions_&amp;_Inputs'!$E$34)))</f>
        <v>160937.28</v>
      </c>
      <c r="N45" s="20">
        <f>($D45)*(1-((N$7-1)*('Key_Assumptions_&amp;_Inputs'!$E$34)))</f>
        <v>160099.065</v>
      </c>
      <c r="O45" s="20">
        <f>($D45)*(1-((O$7-1)*('Key_Assumptions_&amp;_Inputs'!$E$34)))</f>
        <v>159260.85</v>
      </c>
      <c r="P45" s="20">
        <f>($D45)*(1-((P$7-1)*('Key_Assumptions_&amp;_Inputs'!$E$34)))</f>
        <v>158422.63499999998</v>
      </c>
      <c r="Q45" s="20">
        <f>($D45)*(1-((Q$7-1)*('Key_Assumptions_&amp;_Inputs'!$E$34)))</f>
        <v>157584.41999999998</v>
      </c>
      <c r="R45" s="20">
        <f>($D45)*(1-((R$7-1)*('Key_Assumptions_&amp;_Inputs'!$E$34)))</f>
        <v>156746.20500000002</v>
      </c>
      <c r="S45" s="20">
        <f>($D45)*(1-((S$7-1)*('Key_Assumptions_&amp;_Inputs'!$E$34)))</f>
        <v>155907.99</v>
      </c>
      <c r="T45" s="20">
        <f>($D45)*(1-((T$7-1)*('Key_Assumptions_&amp;_Inputs'!$E$34)))</f>
        <v>155069.77499999999</v>
      </c>
      <c r="U45" s="20">
        <f>($D45)*(1-((U$7-1)*('Key_Assumptions_&amp;_Inputs'!$E$34)))</f>
        <v>154231.56</v>
      </c>
      <c r="V45" s="20">
        <f>($D45)*(1-((V$7-1)*('Key_Assumptions_&amp;_Inputs'!$E$34)))</f>
        <v>153393.345</v>
      </c>
      <c r="W45" s="20">
        <f>($D45)*(1-((W$7-1)*('Key_Assumptions_&amp;_Inputs'!$E$34)))</f>
        <v>152555.13</v>
      </c>
      <c r="X45" s="20">
        <f>($D45)*(1-((X$7-1)*('Key_Assumptions_&amp;_Inputs'!$E$34)))</f>
        <v>151716.91500000001</v>
      </c>
      <c r="Y45" s="20">
        <f>($D45)*(1-((Y$7-1)*('Key_Assumptions_&amp;_Inputs'!$E$34)))</f>
        <v>150878.70000000001</v>
      </c>
      <c r="Z45" s="20">
        <f>($D45)*(1-((Z$7-1)*('Key_Assumptions_&amp;_Inputs'!$E$34)))</f>
        <v>150040.48500000002</v>
      </c>
      <c r="AA45" s="20">
        <f>($D45)*(1-((AA$7-1)*('Key_Assumptions_&amp;_Inputs'!$E$34)))</f>
        <v>149202.26999999999</v>
      </c>
      <c r="AB45" s="20">
        <f>($D45)*(1-((AB$7-1)*('Key_Assumptions_&amp;_Inputs'!$E$34)))</f>
        <v>148364.05499999999</v>
      </c>
      <c r="AC45" s="36">
        <f>($D45)*(1-((AC$7-1)*('Key_Assumptions_&amp;_Inputs'!$E$34)))</f>
        <v>147525.84</v>
      </c>
    </row>
    <row r="46" spans="1:30" x14ac:dyDescent="0.25">
      <c r="A46" s="26"/>
      <c r="C46" s="24" t="s">
        <v>50</v>
      </c>
      <c r="D46" s="597">
        <v>221692</v>
      </c>
      <c r="E46" s="20">
        <f>($D46)*(1-((E$7-1)*('Key_Assumptions_&amp;_Inputs'!$E$34)))</f>
        <v>221692</v>
      </c>
      <c r="F46" s="20">
        <f>($D46)*(1-((F$7-1)*('Key_Assumptions_&amp;_Inputs'!$E$34)))</f>
        <v>220583.54</v>
      </c>
      <c r="G46" s="20">
        <f>($D46)*(1-((G$7-1)*('Key_Assumptions_&amp;_Inputs'!$E$34)))</f>
        <v>219475.08</v>
      </c>
      <c r="H46" s="20">
        <f>($D46)*(1-((H$7-1)*('Key_Assumptions_&amp;_Inputs'!$E$34)))</f>
        <v>218366.62</v>
      </c>
      <c r="I46" s="20">
        <f>($D46)*(1-((I$7-1)*('Key_Assumptions_&amp;_Inputs'!$E$34)))</f>
        <v>217258.16</v>
      </c>
      <c r="J46" s="20">
        <f>($D46)*(1-((J$7-1)*('Key_Assumptions_&amp;_Inputs'!$E$34)))</f>
        <v>216149.69999999998</v>
      </c>
      <c r="K46" s="20">
        <f>($D46)*(1-((K$7-1)*('Key_Assumptions_&amp;_Inputs'!$E$34)))</f>
        <v>215041.24</v>
      </c>
      <c r="L46" s="20">
        <f>($D46)*(1-((L$7-1)*('Key_Assumptions_&amp;_Inputs'!$E$34)))</f>
        <v>213932.78</v>
      </c>
      <c r="M46" s="20">
        <f>($D46)*(1-((M$7-1)*('Key_Assumptions_&amp;_Inputs'!$E$34)))</f>
        <v>212824.31999999998</v>
      </c>
      <c r="N46" s="20">
        <f>($D46)*(1-((N$7-1)*('Key_Assumptions_&amp;_Inputs'!$E$34)))</f>
        <v>211715.86</v>
      </c>
      <c r="O46" s="20">
        <f>($D46)*(1-((O$7-1)*('Key_Assumptions_&amp;_Inputs'!$E$34)))</f>
        <v>210607.4</v>
      </c>
      <c r="P46" s="20">
        <f>($D46)*(1-((P$7-1)*('Key_Assumptions_&amp;_Inputs'!$E$34)))</f>
        <v>209498.94</v>
      </c>
      <c r="Q46" s="20">
        <f>($D46)*(1-((Q$7-1)*('Key_Assumptions_&amp;_Inputs'!$E$34)))</f>
        <v>208390.47999999998</v>
      </c>
      <c r="R46" s="20">
        <f>($D46)*(1-((R$7-1)*('Key_Assumptions_&amp;_Inputs'!$E$34)))</f>
        <v>207282.02000000002</v>
      </c>
      <c r="S46" s="20">
        <f>($D46)*(1-((S$7-1)*('Key_Assumptions_&amp;_Inputs'!$E$34)))</f>
        <v>206173.56</v>
      </c>
      <c r="T46" s="20">
        <f>($D46)*(1-((T$7-1)*('Key_Assumptions_&amp;_Inputs'!$E$34)))</f>
        <v>205065.1</v>
      </c>
      <c r="U46" s="20">
        <f>($D46)*(1-((U$7-1)*('Key_Assumptions_&amp;_Inputs'!$E$34)))</f>
        <v>203956.64</v>
      </c>
      <c r="V46" s="20">
        <f>($D46)*(1-((V$7-1)*('Key_Assumptions_&amp;_Inputs'!$E$34)))</f>
        <v>202848.18000000002</v>
      </c>
      <c r="W46" s="20">
        <f>($D46)*(1-((W$7-1)*('Key_Assumptions_&amp;_Inputs'!$E$34)))</f>
        <v>201739.72</v>
      </c>
      <c r="X46" s="20">
        <f>($D46)*(1-((X$7-1)*('Key_Assumptions_&amp;_Inputs'!$E$34)))</f>
        <v>200631.26</v>
      </c>
      <c r="Y46" s="20">
        <f>($D46)*(1-((Y$7-1)*('Key_Assumptions_&amp;_Inputs'!$E$34)))</f>
        <v>199522.80000000002</v>
      </c>
      <c r="Z46" s="20">
        <f>($D46)*(1-((Z$7-1)*('Key_Assumptions_&amp;_Inputs'!$E$34)))</f>
        <v>198414.34</v>
      </c>
      <c r="AA46" s="20">
        <f>($D46)*(1-((AA$7-1)*('Key_Assumptions_&amp;_Inputs'!$E$34)))</f>
        <v>197305.88</v>
      </c>
      <c r="AB46" s="20">
        <f>($D46)*(1-((AB$7-1)*('Key_Assumptions_&amp;_Inputs'!$E$34)))</f>
        <v>196197.42</v>
      </c>
      <c r="AC46" s="36">
        <f>($D46)*(1-((AC$7-1)*('Key_Assumptions_&amp;_Inputs'!$E$34)))</f>
        <v>195088.96</v>
      </c>
    </row>
    <row r="47" spans="1:30" x14ac:dyDescent="0.25">
      <c r="A47" s="26"/>
      <c r="C47" s="24" t="s">
        <v>51</v>
      </c>
      <c r="D47" s="597">
        <v>219337</v>
      </c>
      <c r="E47" s="20">
        <f>($D47)*(1-((E$7-1)*('Key_Assumptions_&amp;_Inputs'!$E$34)))</f>
        <v>219337</v>
      </c>
      <c r="F47" s="20">
        <f>($D47)*(1-((F$7-1)*('Key_Assumptions_&amp;_Inputs'!$E$34)))</f>
        <v>218240.315</v>
      </c>
      <c r="G47" s="20">
        <f>($D47)*(1-((G$7-1)*('Key_Assumptions_&amp;_Inputs'!$E$34)))</f>
        <v>217143.63</v>
      </c>
      <c r="H47" s="20">
        <f>($D47)*(1-((H$7-1)*('Key_Assumptions_&amp;_Inputs'!$E$34)))</f>
        <v>216046.94500000001</v>
      </c>
      <c r="I47" s="20">
        <f>($D47)*(1-((I$7-1)*('Key_Assumptions_&amp;_Inputs'!$E$34)))</f>
        <v>214950.26</v>
      </c>
      <c r="J47" s="20">
        <f>($D47)*(1-((J$7-1)*('Key_Assumptions_&amp;_Inputs'!$E$34)))</f>
        <v>213853.57499999998</v>
      </c>
      <c r="K47" s="20">
        <f>($D47)*(1-((K$7-1)*('Key_Assumptions_&amp;_Inputs'!$E$34)))</f>
        <v>212756.88999999998</v>
      </c>
      <c r="L47" s="20">
        <f>($D47)*(1-((L$7-1)*('Key_Assumptions_&amp;_Inputs'!$E$34)))</f>
        <v>211660.20499999999</v>
      </c>
      <c r="M47" s="20">
        <f>($D47)*(1-((M$7-1)*('Key_Assumptions_&amp;_Inputs'!$E$34)))</f>
        <v>210563.52</v>
      </c>
      <c r="N47" s="20">
        <f>($D47)*(1-((N$7-1)*('Key_Assumptions_&amp;_Inputs'!$E$34)))</f>
        <v>209466.83499999999</v>
      </c>
      <c r="O47" s="20">
        <f>($D47)*(1-((O$7-1)*('Key_Assumptions_&amp;_Inputs'!$E$34)))</f>
        <v>208370.15</v>
      </c>
      <c r="P47" s="20">
        <f>($D47)*(1-((P$7-1)*('Key_Assumptions_&amp;_Inputs'!$E$34)))</f>
        <v>207273.465</v>
      </c>
      <c r="Q47" s="20">
        <f>($D47)*(1-((Q$7-1)*('Key_Assumptions_&amp;_Inputs'!$E$34)))</f>
        <v>206176.78</v>
      </c>
      <c r="R47" s="20">
        <f>($D47)*(1-((R$7-1)*('Key_Assumptions_&amp;_Inputs'!$E$34)))</f>
        <v>205080.095</v>
      </c>
      <c r="S47" s="20">
        <f>($D47)*(1-((S$7-1)*('Key_Assumptions_&amp;_Inputs'!$E$34)))</f>
        <v>203983.40999999997</v>
      </c>
      <c r="T47" s="20">
        <f>($D47)*(1-((T$7-1)*('Key_Assumptions_&amp;_Inputs'!$E$34)))</f>
        <v>202886.72500000001</v>
      </c>
      <c r="U47" s="20">
        <f>($D47)*(1-((U$7-1)*('Key_Assumptions_&amp;_Inputs'!$E$34)))</f>
        <v>201790.04</v>
      </c>
      <c r="V47" s="20">
        <f>($D47)*(1-((V$7-1)*('Key_Assumptions_&amp;_Inputs'!$E$34)))</f>
        <v>200693.35500000001</v>
      </c>
      <c r="W47" s="20">
        <f>($D47)*(1-((W$7-1)*('Key_Assumptions_&amp;_Inputs'!$E$34)))</f>
        <v>199596.67</v>
      </c>
      <c r="X47" s="20">
        <f>($D47)*(1-((X$7-1)*('Key_Assumptions_&amp;_Inputs'!$E$34)))</f>
        <v>198499.98500000002</v>
      </c>
      <c r="Y47" s="20">
        <f>($D47)*(1-((Y$7-1)*('Key_Assumptions_&amp;_Inputs'!$E$34)))</f>
        <v>197403.30000000002</v>
      </c>
      <c r="Z47" s="20">
        <f>($D47)*(1-((Z$7-1)*('Key_Assumptions_&amp;_Inputs'!$E$34)))</f>
        <v>196306.61499999999</v>
      </c>
      <c r="AA47" s="20">
        <f>($D47)*(1-((AA$7-1)*('Key_Assumptions_&amp;_Inputs'!$E$34)))</f>
        <v>195209.93</v>
      </c>
      <c r="AB47" s="20">
        <f>($D47)*(1-((AB$7-1)*('Key_Assumptions_&amp;_Inputs'!$E$34)))</f>
        <v>194113.245</v>
      </c>
      <c r="AC47" s="36">
        <f>($D47)*(1-((AC$7-1)*('Key_Assumptions_&amp;_Inputs'!$E$34)))</f>
        <v>193016.56</v>
      </c>
    </row>
    <row r="48" spans="1:30" x14ac:dyDescent="0.25">
      <c r="A48" s="26"/>
      <c r="C48" s="24" t="s">
        <v>52</v>
      </c>
      <c r="D48" s="597">
        <v>221047</v>
      </c>
      <c r="E48" s="20">
        <f>($D48)*(1-((E$7-1)*('Key_Assumptions_&amp;_Inputs'!$E$34)))</f>
        <v>221047</v>
      </c>
      <c r="F48" s="20">
        <f>($D48)*(1-((F$7-1)*('Key_Assumptions_&amp;_Inputs'!$E$34)))</f>
        <v>219941.76499999998</v>
      </c>
      <c r="G48" s="20">
        <f>($D48)*(1-((G$7-1)*('Key_Assumptions_&amp;_Inputs'!$E$34)))</f>
        <v>218836.53</v>
      </c>
      <c r="H48" s="20">
        <f>($D48)*(1-((H$7-1)*('Key_Assumptions_&amp;_Inputs'!$E$34)))</f>
        <v>217731.29499999998</v>
      </c>
      <c r="I48" s="20">
        <f>($D48)*(1-((I$7-1)*('Key_Assumptions_&amp;_Inputs'!$E$34)))</f>
        <v>216626.06</v>
      </c>
      <c r="J48" s="20">
        <f>($D48)*(1-((J$7-1)*('Key_Assumptions_&amp;_Inputs'!$E$34)))</f>
        <v>215520.82499999998</v>
      </c>
      <c r="K48" s="20">
        <f>($D48)*(1-((K$7-1)*('Key_Assumptions_&amp;_Inputs'!$E$34)))</f>
        <v>214415.59</v>
      </c>
      <c r="L48" s="20">
        <f>($D48)*(1-((L$7-1)*('Key_Assumptions_&amp;_Inputs'!$E$34)))</f>
        <v>213310.35499999998</v>
      </c>
      <c r="M48" s="20">
        <f>($D48)*(1-((M$7-1)*('Key_Assumptions_&amp;_Inputs'!$E$34)))</f>
        <v>212205.12</v>
      </c>
      <c r="N48" s="20">
        <f>($D48)*(1-((N$7-1)*('Key_Assumptions_&amp;_Inputs'!$E$34)))</f>
        <v>211099.88499999998</v>
      </c>
      <c r="O48" s="20">
        <f>($D48)*(1-((O$7-1)*('Key_Assumptions_&amp;_Inputs'!$E$34)))</f>
        <v>209994.65</v>
      </c>
      <c r="P48" s="20">
        <f>($D48)*(1-((P$7-1)*('Key_Assumptions_&amp;_Inputs'!$E$34)))</f>
        <v>208889.41499999998</v>
      </c>
      <c r="Q48" s="20">
        <f>($D48)*(1-((Q$7-1)*('Key_Assumptions_&amp;_Inputs'!$E$34)))</f>
        <v>207784.18</v>
      </c>
      <c r="R48" s="20">
        <f>($D48)*(1-((R$7-1)*('Key_Assumptions_&amp;_Inputs'!$E$34)))</f>
        <v>206678.94500000001</v>
      </c>
      <c r="S48" s="20">
        <f>($D48)*(1-((S$7-1)*('Key_Assumptions_&amp;_Inputs'!$E$34)))</f>
        <v>205573.71</v>
      </c>
      <c r="T48" s="20">
        <f>($D48)*(1-((T$7-1)*('Key_Assumptions_&amp;_Inputs'!$E$34)))</f>
        <v>204468.47500000001</v>
      </c>
      <c r="U48" s="20">
        <f>($D48)*(1-((U$7-1)*('Key_Assumptions_&amp;_Inputs'!$E$34)))</f>
        <v>203363.24000000002</v>
      </c>
      <c r="V48" s="20">
        <f>($D48)*(1-((V$7-1)*('Key_Assumptions_&amp;_Inputs'!$E$34)))</f>
        <v>202258.005</v>
      </c>
      <c r="W48" s="20">
        <f>($D48)*(1-((W$7-1)*('Key_Assumptions_&amp;_Inputs'!$E$34)))</f>
        <v>201152.77000000002</v>
      </c>
      <c r="X48" s="20">
        <f>($D48)*(1-((X$7-1)*('Key_Assumptions_&amp;_Inputs'!$E$34)))</f>
        <v>200047.535</v>
      </c>
      <c r="Y48" s="20">
        <f>($D48)*(1-((Y$7-1)*('Key_Assumptions_&amp;_Inputs'!$E$34)))</f>
        <v>198942.30000000002</v>
      </c>
      <c r="Z48" s="20">
        <f>($D48)*(1-((Z$7-1)*('Key_Assumptions_&amp;_Inputs'!$E$34)))</f>
        <v>197837.065</v>
      </c>
      <c r="AA48" s="20">
        <f>($D48)*(1-((AA$7-1)*('Key_Assumptions_&amp;_Inputs'!$E$34)))</f>
        <v>196731.83000000002</v>
      </c>
      <c r="AB48" s="20">
        <f>($D48)*(1-((AB$7-1)*('Key_Assumptions_&amp;_Inputs'!$E$34)))</f>
        <v>195626.595</v>
      </c>
      <c r="AC48" s="36">
        <f>($D48)*(1-((AC$7-1)*('Key_Assumptions_&amp;_Inputs'!$E$34)))</f>
        <v>194521.36000000002</v>
      </c>
    </row>
    <row r="49" spans="1:30" x14ac:dyDescent="0.25">
      <c r="A49" s="26"/>
      <c r="C49" s="24" t="s">
        <v>53</v>
      </c>
      <c r="D49" s="597">
        <v>191515</v>
      </c>
      <c r="E49" s="20">
        <f>($D49)*(1-((E$7-1)*('Key_Assumptions_&amp;_Inputs'!$E$34)))</f>
        <v>191515</v>
      </c>
      <c r="F49" s="20">
        <f>($D49)*(1-((F$7-1)*('Key_Assumptions_&amp;_Inputs'!$E$34)))</f>
        <v>190557.42499999999</v>
      </c>
      <c r="G49" s="20">
        <f>($D49)*(1-((G$7-1)*('Key_Assumptions_&amp;_Inputs'!$E$34)))</f>
        <v>189599.85</v>
      </c>
      <c r="H49" s="20">
        <f>($D49)*(1-((H$7-1)*('Key_Assumptions_&amp;_Inputs'!$E$34)))</f>
        <v>188642.27499999999</v>
      </c>
      <c r="I49" s="20">
        <f>($D49)*(1-((I$7-1)*('Key_Assumptions_&amp;_Inputs'!$E$34)))</f>
        <v>187684.69999999998</v>
      </c>
      <c r="J49" s="20">
        <f>($D49)*(1-((J$7-1)*('Key_Assumptions_&amp;_Inputs'!$E$34)))</f>
        <v>186727.125</v>
      </c>
      <c r="K49" s="20">
        <f>($D49)*(1-((K$7-1)*('Key_Assumptions_&amp;_Inputs'!$E$34)))</f>
        <v>185769.55</v>
      </c>
      <c r="L49" s="20">
        <f>($D49)*(1-((L$7-1)*('Key_Assumptions_&amp;_Inputs'!$E$34)))</f>
        <v>184811.97500000001</v>
      </c>
      <c r="M49" s="20">
        <f>($D49)*(1-((M$7-1)*('Key_Assumptions_&amp;_Inputs'!$E$34)))</f>
        <v>183854.4</v>
      </c>
      <c r="N49" s="20">
        <f>($D49)*(1-((N$7-1)*('Key_Assumptions_&amp;_Inputs'!$E$34)))</f>
        <v>182896.82499999998</v>
      </c>
      <c r="O49" s="20">
        <f>($D49)*(1-((O$7-1)*('Key_Assumptions_&amp;_Inputs'!$E$34)))</f>
        <v>181939.25</v>
      </c>
      <c r="P49" s="20">
        <f>($D49)*(1-((P$7-1)*('Key_Assumptions_&amp;_Inputs'!$E$34)))</f>
        <v>180981.67499999999</v>
      </c>
      <c r="Q49" s="20">
        <f>($D49)*(1-((Q$7-1)*('Key_Assumptions_&amp;_Inputs'!$E$34)))</f>
        <v>180024.09999999998</v>
      </c>
      <c r="R49" s="20">
        <f>($D49)*(1-((R$7-1)*('Key_Assumptions_&amp;_Inputs'!$E$34)))</f>
        <v>179066.52500000002</v>
      </c>
      <c r="S49" s="20">
        <f>($D49)*(1-((S$7-1)*('Key_Assumptions_&amp;_Inputs'!$E$34)))</f>
        <v>178108.94999999998</v>
      </c>
      <c r="T49" s="20">
        <f>($D49)*(1-((T$7-1)*('Key_Assumptions_&amp;_Inputs'!$E$34)))</f>
        <v>177151.375</v>
      </c>
      <c r="U49" s="20">
        <f>($D49)*(1-((U$7-1)*('Key_Assumptions_&amp;_Inputs'!$E$34)))</f>
        <v>176193.80000000002</v>
      </c>
      <c r="V49" s="20">
        <f>($D49)*(1-((V$7-1)*('Key_Assumptions_&amp;_Inputs'!$E$34)))</f>
        <v>175236.22500000001</v>
      </c>
      <c r="W49" s="20">
        <f>($D49)*(1-((W$7-1)*('Key_Assumptions_&amp;_Inputs'!$E$34)))</f>
        <v>174278.65</v>
      </c>
      <c r="X49" s="20">
        <f>($D49)*(1-((X$7-1)*('Key_Assumptions_&amp;_Inputs'!$E$34)))</f>
        <v>173321.07500000001</v>
      </c>
      <c r="Y49" s="20">
        <f>($D49)*(1-((Y$7-1)*('Key_Assumptions_&amp;_Inputs'!$E$34)))</f>
        <v>172363.5</v>
      </c>
      <c r="Z49" s="20">
        <f>($D49)*(1-((Z$7-1)*('Key_Assumptions_&amp;_Inputs'!$E$34)))</f>
        <v>171405.92500000002</v>
      </c>
      <c r="AA49" s="20">
        <f>($D49)*(1-((AA$7-1)*('Key_Assumptions_&amp;_Inputs'!$E$34)))</f>
        <v>170448.35</v>
      </c>
      <c r="AB49" s="20">
        <f>($D49)*(1-((AB$7-1)*('Key_Assumptions_&amp;_Inputs'!$E$34)))</f>
        <v>169490.77499999999</v>
      </c>
      <c r="AC49" s="36">
        <f>($D49)*(1-((AC$7-1)*('Key_Assumptions_&amp;_Inputs'!$E$34)))</f>
        <v>168533.2</v>
      </c>
    </row>
    <row r="50" spans="1:30" x14ac:dyDescent="0.25">
      <c r="A50" s="26"/>
      <c r="C50" s="24" t="s">
        <v>54</v>
      </c>
      <c r="D50" s="597">
        <v>160463</v>
      </c>
      <c r="E50" s="20">
        <f>($D50)*(1-((E$7-1)*('Key_Assumptions_&amp;_Inputs'!$E$34)))</f>
        <v>160463</v>
      </c>
      <c r="F50" s="20">
        <f>($D50)*(1-((F$7-1)*('Key_Assumptions_&amp;_Inputs'!$E$34)))</f>
        <v>159660.685</v>
      </c>
      <c r="G50" s="20">
        <f>($D50)*(1-((G$7-1)*('Key_Assumptions_&amp;_Inputs'!$E$34)))</f>
        <v>158858.37</v>
      </c>
      <c r="H50" s="20">
        <f>($D50)*(1-((H$7-1)*('Key_Assumptions_&amp;_Inputs'!$E$34)))</f>
        <v>158056.05499999999</v>
      </c>
      <c r="I50" s="20">
        <f>($D50)*(1-((I$7-1)*('Key_Assumptions_&amp;_Inputs'!$E$34)))</f>
        <v>157253.74</v>
      </c>
      <c r="J50" s="20">
        <f>($D50)*(1-((J$7-1)*('Key_Assumptions_&amp;_Inputs'!$E$34)))</f>
        <v>156451.42499999999</v>
      </c>
      <c r="K50" s="20">
        <f>($D50)*(1-((K$7-1)*('Key_Assumptions_&amp;_Inputs'!$E$34)))</f>
        <v>155649.10999999999</v>
      </c>
      <c r="L50" s="20">
        <f>($D50)*(1-((L$7-1)*('Key_Assumptions_&amp;_Inputs'!$E$34)))</f>
        <v>154846.79499999998</v>
      </c>
      <c r="M50" s="20">
        <f>($D50)*(1-((M$7-1)*('Key_Assumptions_&amp;_Inputs'!$E$34)))</f>
        <v>154044.47999999998</v>
      </c>
      <c r="N50" s="20">
        <f>($D50)*(1-((N$7-1)*('Key_Assumptions_&amp;_Inputs'!$E$34)))</f>
        <v>153242.16499999998</v>
      </c>
      <c r="O50" s="20">
        <f>($D50)*(1-((O$7-1)*('Key_Assumptions_&amp;_Inputs'!$E$34)))</f>
        <v>152439.85</v>
      </c>
      <c r="P50" s="20">
        <f>($D50)*(1-((P$7-1)*('Key_Assumptions_&amp;_Inputs'!$E$34)))</f>
        <v>151637.535</v>
      </c>
      <c r="Q50" s="20">
        <f>($D50)*(1-((Q$7-1)*('Key_Assumptions_&amp;_Inputs'!$E$34)))</f>
        <v>150835.22</v>
      </c>
      <c r="R50" s="20">
        <f>($D50)*(1-((R$7-1)*('Key_Assumptions_&amp;_Inputs'!$E$34)))</f>
        <v>150032.905</v>
      </c>
      <c r="S50" s="20">
        <f>($D50)*(1-((S$7-1)*('Key_Assumptions_&amp;_Inputs'!$E$34)))</f>
        <v>149230.59</v>
      </c>
      <c r="T50" s="20">
        <f>($D50)*(1-((T$7-1)*('Key_Assumptions_&amp;_Inputs'!$E$34)))</f>
        <v>148428.27499999999</v>
      </c>
      <c r="U50" s="20">
        <f>($D50)*(1-((U$7-1)*('Key_Assumptions_&amp;_Inputs'!$E$34)))</f>
        <v>147625.96000000002</v>
      </c>
      <c r="V50" s="20">
        <f>($D50)*(1-((V$7-1)*('Key_Assumptions_&amp;_Inputs'!$E$34)))</f>
        <v>146823.64500000002</v>
      </c>
      <c r="W50" s="20">
        <f>($D50)*(1-((W$7-1)*('Key_Assumptions_&amp;_Inputs'!$E$34)))</f>
        <v>146021.33000000002</v>
      </c>
      <c r="X50" s="20">
        <f>($D50)*(1-((X$7-1)*('Key_Assumptions_&amp;_Inputs'!$E$34)))</f>
        <v>145219.01500000001</v>
      </c>
      <c r="Y50" s="20">
        <f>($D50)*(1-((Y$7-1)*('Key_Assumptions_&amp;_Inputs'!$E$34)))</f>
        <v>144416.70000000001</v>
      </c>
      <c r="Z50" s="20">
        <f>($D50)*(1-((Z$7-1)*('Key_Assumptions_&amp;_Inputs'!$E$34)))</f>
        <v>143614.38500000001</v>
      </c>
      <c r="AA50" s="20">
        <f>($D50)*(1-((AA$7-1)*('Key_Assumptions_&amp;_Inputs'!$E$34)))</f>
        <v>142812.07</v>
      </c>
      <c r="AB50" s="20">
        <f>($D50)*(1-((AB$7-1)*('Key_Assumptions_&amp;_Inputs'!$E$34)))</f>
        <v>142009.755</v>
      </c>
      <c r="AC50" s="36">
        <f>($D50)*(1-((AC$7-1)*('Key_Assumptions_&amp;_Inputs'!$E$34)))</f>
        <v>141207.44</v>
      </c>
    </row>
    <row r="51" spans="1:30" x14ac:dyDescent="0.25">
      <c r="A51" s="26"/>
      <c r="C51" s="24" t="s">
        <v>55</v>
      </c>
      <c r="D51" s="597">
        <v>127379</v>
      </c>
      <c r="E51" s="20">
        <f>($D51)*(1-((E$7-1)*('Key_Assumptions_&amp;_Inputs'!$E$34)))</f>
        <v>127379</v>
      </c>
      <c r="F51" s="20">
        <f>($D51)*(1-((F$7-1)*('Key_Assumptions_&amp;_Inputs'!$E$34)))</f>
        <v>126742.105</v>
      </c>
      <c r="G51" s="20">
        <f>($D51)*(1-((G$7-1)*('Key_Assumptions_&amp;_Inputs'!$E$34)))</f>
        <v>126105.20999999999</v>
      </c>
      <c r="H51" s="20">
        <f>($D51)*(1-((H$7-1)*('Key_Assumptions_&amp;_Inputs'!$E$34)))</f>
        <v>125468.315</v>
      </c>
      <c r="I51" s="20">
        <f>($D51)*(1-((I$7-1)*('Key_Assumptions_&amp;_Inputs'!$E$34)))</f>
        <v>124831.42</v>
      </c>
      <c r="J51" s="20">
        <f>($D51)*(1-((J$7-1)*('Key_Assumptions_&amp;_Inputs'!$E$34)))</f>
        <v>124194.52499999999</v>
      </c>
      <c r="K51" s="20">
        <f>($D51)*(1-((K$7-1)*('Key_Assumptions_&amp;_Inputs'!$E$34)))</f>
        <v>123557.62999999999</v>
      </c>
      <c r="L51" s="20">
        <f>($D51)*(1-((L$7-1)*('Key_Assumptions_&amp;_Inputs'!$E$34)))</f>
        <v>122920.735</v>
      </c>
      <c r="M51" s="20">
        <f>($D51)*(1-((M$7-1)*('Key_Assumptions_&amp;_Inputs'!$E$34)))</f>
        <v>122283.84</v>
      </c>
      <c r="N51" s="20">
        <f>($D51)*(1-((N$7-1)*('Key_Assumptions_&amp;_Inputs'!$E$34)))</f>
        <v>121646.94499999999</v>
      </c>
      <c r="O51" s="20">
        <f>($D51)*(1-((O$7-1)*('Key_Assumptions_&amp;_Inputs'!$E$34)))</f>
        <v>121010.04999999999</v>
      </c>
      <c r="P51" s="20">
        <f>($D51)*(1-((P$7-1)*('Key_Assumptions_&amp;_Inputs'!$E$34)))</f>
        <v>120373.155</v>
      </c>
      <c r="Q51" s="20">
        <f>($D51)*(1-((Q$7-1)*('Key_Assumptions_&amp;_Inputs'!$E$34)))</f>
        <v>119736.26</v>
      </c>
      <c r="R51" s="20">
        <f>($D51)*(1-((R$7-1)*('Key_Assumptions_&amp;_Inputs'!$E$34)))</f>
        <v>119099.36500000001</v>
      </c>
      <c r="S51" s="20">
        <f>($D51)*(1-((S$7-1)*('Key_Assumptions_&amp;_Inputs'!$E$34)))</f>
        <v>118462.46999999999</v>
      </c>
      <c r="T51" s="20">
        <f>($D51)*(1-((T$7-1)*('Key_Assumptions_&amp;_Inputs'!$E$34)))</f>
        <v>117825.57500000001</v>
      </c>
      <c r="U51" s="20">
        <f>($D51)*(1-((U$7-1)*('Key_Assumptions_&amp;_Inputs'!$E$34)))</f>
        <v>117188.68000000001</v>
      </c>
      <c r="V51" s="20">
        <f>($D51)*(1-((V$7-1)*('Key_Assumptions_&amp;_Inputs'!$E$34)))</f>
        <v>116551.785</v>
      </c>
      <c r="W51" s="20">
        <f>($D51)*(1-((W$7-1)*('Key_Assumptions_&amp;_Inputs'!$E$34)))</f>
        <v>115914.89</v>
      </c>
      <c r="X51" s="20">
        <f>($D51)*(1-((X$7-1)*('Key_Assumptions_&amp;_Inputs'!$E$34)))</f>
        <v>115277.99500000001</v>
      </c>
      <c r="Y51" s="20">
        <f>($D51)*(1-((Y$7-1)*('Key_Assumptions_&amp;_Inputs'!$E$34)))</f>
        <v>114641.1</v>
      </c>
      <c r="Z51" s="20">
        <f>($D51)*(1-((Z$7-1)*('Key_Assumptions_&amp;_Inputs'!$E$34)))</f>
        <v>114004.205</v>
      </c>
      <c r="AA51" s="20">
        <f>($D51)*(1-((AA$7-1)*('Key_Assumptions_&amp;_Inputs'!$E$34)))</f>
        <v>113367.31</v>
      </c>
      <c r="AB51" s="20">
        <f>($D51)*(1-((AB$7-1)*('Key_Assumptions_&amp;_Inputs'!$E$34)))</f>
        <v>112730.41500000001</v>
      </c>
      <c r="AC51" s="36">
        <f>($D51)*(1-((AC$7-1)*('Key_Assumptions_&amp;_Inputs'!$E$34)))</f>
        <v>112093.52</v>
      </c>
    </row>
    <row r="52" spans="1:30" x14ac:dyDescent="0.25">
      <c r="A52" s="26"/>
      <c r="C52" s="24" t="s">
        <v>56</v>
      </c>
      <c r="D52" s="597">
        <v>77618</v>
      </c>
      <c r="E52" s="20">
        <f>($D52)*(1-((E$7-1)*('Key_Assumptions_&amp;_Inputs'!$E$34)))</f>
        <v>77618</v>
      </c>
      <c r="F52" s="20">
        <f>($D52)*(1-((F$7-1)*('Key_Assumptions_&amp;_Inputs'!$E$34)))</f>
        <v>77229.91</v>
      </c>
      <c r="G52" s="20">
        <f>($D52)*(1-((G$7-1)*('Key_Assumptions_&amp;_Inputs'!$E$34)))</f>
        <v>76841.819999999992</v>
      </c>
      <c r="H52" s="20">
        <f>($D52)*(1-((H$7-1)*('Key_Assumptions_&amp;_Inputs'!$E$34)))</f>
        <v>76453.73</v>
      </c>
      <c r="I52" s="20">
        <f>($D52)*(1-((I$7-1)*('Key_Assumptions_&amp;_Inputs'!$E$34)))</f>
        <v>76065.64</v>
      </c>
      <c r="J52" s="20">
        <f>($D52)*(1-((J$7-1)*('Key_Assumptions_&amp;_Inputs'!$E$34)))</f>
        <v>75677.55</v>
      </c>
      <c r="K52" s="20">
        <f>($D52)*(1-((K$7-1)*('Key_Assumptions_&amp;_Inputs'!$E$34)))</f>
        <v>75289.459999999992</v>
      </c>
      <c r="L52" s="20">
        <f>($D52)*(1-((L$7-1)*('Key_Assumptions_&amp;_Inputs'!$E$34)))</f>
        <v>74901.37</v>
      </c>
      <c r="M52" s="20">
        <f>($D52)*(1-((M$7-1)*('Key_Assumptions_&amp;_Inputs'!$E$34)))</f>
        <v>74513.279999999999</v>
      </c>
      <c r="N52" s="20">
        <f>($D52)*(1-((N$7-1)*('Key_Assumptions_&amp;_Inputs'!$E$34)))</f>
        <v>74125.19</v>
      </c>
      <c r="O52" s="20">
        <f>($D52)*(1-((O$7-1)*('Key_Assumptions_&amp;_Inputs'!$E$34)))</f>
        <v>73737.099999999991</v>
      </c>
      <c r="P52" s="20">
        <f>($D52)*(1-((P$7-1)*('Key_Assumptions_&amp;_Inputs'!$E$34)))</f>
        <v>73349.009999999995</v>
      </c>
      <c r="Q52" s="20">
        <f>($D52)*(1-((Q$7-1)*('Key_Assumptions_&amp;_Inputs'!$E$34)))</f>
        <v>72960.92</v>
      </c>
      <c r="R52" s="20">
        <f>($D52)*(1-((R$7-1)*('Key_Assumptions_&amp;_Inputs'!$E$34)))</f>
        <v>72572.83</v>
      </c>
      <c r="S52" s="20">
        <f>($D52)*(1-((S$7-1)*('Key_Assumptions_&amp;_Inputs'!$E$34)))</f>
        <v>72184.739999999991</v>
      </c>
      <c r="T52" s="20">
        <f>($D52)*(1-((T$7-1)*('Key_Assumptions_&amp;_Inputs'!$E$34)))</f>
        <v>71796.650000000009</v>
      </c>
      <c r="U52" s="20">
        <f>($D52)*(1-((U$7-1)*('Key_Assumptions_&amp;_Inputs'!$E$34)))</f>
        <v>71408.56</v>
      </c>
      <c r="V52" s="20">
        <f>($D52)*(1-((V$7-1)*('Key_Assumptions_&amp;_Inputs'!$E$34)))</f>
        <v>71020.47</v>
      </c>
      <c r="W52" s="20">
        <f>($D52)*(1-((W$7-1)*('Key_Assumptions_&amp;_Inputs'!$E$34)))</f>
        <v>70632.38</v>
      </c>
      <c r="X52" s="20">
        <f>($D52)*(1-((X$7-1)*('Key_Assumptions_&amp;_Inputs'!$E$34)))</f>
        <v>70244.290000000008</v>
      </c>
      <c r="Y52" s="20">
        <f>($D52)*(1-((Y$7-1)*('Key_Assumptions_&amp;_Inputs'!$E$34)))</f>
        <v>69856.2</v>
      </c>
      <c r="Z52" s="20">
        <f>($D52)*(1-((Z$7-1)*('Key_Assumptions_&amp;_Inputs'!$E$34)))</f>
        <v>69468.11</v>
      </c>
      <c r="AA52" s="20">
        <f>($D52)*(1-((AA$7-1)*('Key_Assumptions_&amp;_Inputs'!$E$34)))</f>
        <v>69080.02</v>
      </c>
      <c r="AB52" s="20">
        <f>($D52)*(1-((AB$7-1)*('Key_Assumptions_&amp;_Inputs'!$E$34)))</f>
        <v>68691.930000000008</v>
      </c>
      <c r="AC52" s="36">
        <f>($D52)*(1-((AC$7-1)*('Key_Assumptions_&amp;_Inputs'!$E$34)))</f>
        <v>68303.839999999997</v>
      </c>
    </row>
    <row r="53" spans="1:30" x14ac:dyDescent="0.25">
      <c r="A53" s="26"/>
      <c r="C53" s="24" t="s">
        <v>57</v>
      </c>
      <c r="D53" s="597">
        <v>69434</v>
      </c>
      <c r="E53" s="20">
        <f>($D53)*(1-((E$7-1)*('Key_Assumptions_&amp;_Inputs'!$E$34)))</f>
        <v>69434</v>
      </c>
      <c r="F53" s="20">
        <f>($D53)*(1-((F$7-1)*('Key_Assumptions_&amp;_Inputs'!$E$34)))</f>
        <v>69086.83</v>
      </c>
      <c r="G53" s="20">
        <f>($D53)*(1-((G$7-1)*('Key_Assumptions_&amp;_Inputs'!$E$34)))</f>
        <v>68739.66</v>
      </c>
      <c r="H53" s="20">
        <f>($D53)*(1-((H$7-1)*('Key_Assumptions_&amp;_Inputs'!$E$34)))</f>
        <v>68392.490000000005</v>
      </c>
      <c r="I53" s="20">
        <f>($D53)*(1-((I$7-1)*('Key_Assumptions_&amp;_Inputs'!$E$34)))</f>
        <v>68045.319999999992</v>
      </c>
      <c r="J53" s="20">
        <f>($D53)*(1-((J$7-1)*('Key_Assumptions_&amp;_Inputs'!$E$34)))</f>
        <v>67698.149999999994</v>
      </c>
      <c r="K53" s="20">
        <f>($D53)*(1-((K$7-1)*('Key_Assumptions_&amp;_Inputs'!$E$34)))</f>
        <v>67350.98</v>
      </c>
      <c r="L53" s="20">
        <f>($D53)*(1-((L$7-1)*('Key_Assumptions_&amp;_Inputs'!$E$34)))</f>
        <v>67003.81</v>
      </c>
      <c r="M53" s="20">
        <f>($D53)*(1-((M$7-1)*('Key_Assumptions_&amp;_Inputs'!$E$34)))</f>
        <v>66656.639999999999</v>
      </c>
      <c r="N53" s="20">
        <f>($D53)*(1-((N$7-1)*('Key_Assumptions_&amp;_Inputs'!$E$34)))</f>
        <v>66309.47</v>
      </c>
      <c r="O53" s="20">
        <f>($D53)*(1-((O$7-1)*('Key_Assumptions_&amp;_Inputs'!$E$34)))</f>
        <v>65962.3</v>
      </c>
      <c r="P53" s="20">
        <f>($D53)*(1-((P$7-1)*('Key_Assumptions_&amp;_Inputs'!$E$34)))</f>
        <v>65615.12999999999</v>
      </c>
      <c r="Q53" s="20">
        <f>($D53)*(1-((Q$7-1)*('Key_Assumptions_&amp;_Inputs'!$E$34)))</f>
        <v>65267.96</v>
      </c>
      <c r="R53" s="20">
        <f>($D53)*(1-((R$7-1)*('Key_Assumptions_&amp;_Inputs'!$E$34)))</f>
        <v>64920.79</v>
      </c>
      <c r="S53" s="20">
        <f>($D53)*(1-((S$7-1)*('Key_Assumptions_&amp;_Inputs'!$E$34)))</f>
        <v>64573.619999999995</v>
      </c>
      <c r="T53" s="20">
        <f>($D53)*(1-((T$7-1)*('Key_Assumptions_&amp;_Inputs'!$E$34)))</f>
        <v>64226.450000000004</v>
      </c>
      <c r="U53" s="20">
        <f>($D53)*(1-((U$7-1)*('Key_Assumptions_&amp;_Inputs'!$E$34)))</f>
        <v>63879.280000000006</v>
      </c>
      <c r="V53" s="20">
        <f>($D53)*(1-((V$7-1)*('Key_Assumptions_&amp;_Inputs'!$E$34)))</f>
        <v>63532.11</v>
      </c>
      <c r="W53" s="20">
        <f>($D53)*(1-((W$7-1)*('Key_Assumptions_&amp;_Inputs'!$E$34)))</f>
        <v>63184.94</v>
      </c>
      <c r="X53" s="20">
        <f>($D53)*(1-((X$7-1)*('Key_Assumptions_&amp;_Inputs'!$E$34)))</f>
        <v>62837.770000000004</v>
      </c>
      <c r="Y53" s="20">
        <f>($D53)*(1-((Y$7-1)*('Key_Assumptions_&amp;_Inputs'!$E$34)))</f>
        <v>62490.6</v>
      </c>
      <c r="Z53" s="20">
        <f>($D53)*(1-((Z$7-1)*('Key_Assumptions_&amp;_Inputs'!$E$34)))</f>
        <v>62143.43</v>
      </c>
      <c r="AA53" s="20">
        <f>($D53)*(1-((AA$7-1)*('Key_Assumptions_&amp;_Inputs'!$E$34)))</f>
        <v>61796.26</v>
      </c>
      <c r="AB53" s="20">
        <f>($D53)*(1-((AB$7-1)*('Key_Assumptions_&amp;_Inputs'!$E$34)))</f>
        <v>61449.090000000004</v>
      </c>
      <c r="AC53" s="36">
        <f>($D53)*(1-((AC$7-1)*('Key_Assumptions_&amp;_Inputs'!$E$34)))</f>
        <v>61101.919999999998</v>
      </c>
    </row>
    <row r="54" spans="1:30" ht="15.75" thickBot="1" x14ac:dyDescent="0.3">
      <c r="A54" s="27"/>
      <c r="C54" s="39" t="s">
        <v>61</v>
      </c>
      <c r="D54" s="241">
        <f>SUM(D42:D53)</f>
        <v>1789411</v>
      </c>
      <c r="E54" s="37">
        <f>SUM(E42:E53)</f>
        <v>1789411</v>
      </c>
      <c r="F54" s="37">
        <f t="shared" ref="F54:AB54" si="0">SUM(F42:F53)</f>
        <v>1780463.9450000001</v>
      </c>
      <c r="G54" s="37">
        <f t="shared" si="0"/>
        <v>1771516.8900000001</v>
      </c>
      <c r="H54" s="37">
        <f t="shared" si="0"/>
        <v>1762569.8349999997</v>
      </c>
      <c r="I54" s="37">
        <f t="shared" si="0"/>
        <v>1753622.7799999998</v>
      </c>
      <c r="J54" s="37">
        <f t="shared" si="0"/>
        <v>1744675.7249999999</v>
      </c>
      <c r="K54" s="37">
        <f t="shared" si="0"/>
        <v>1735728.67</v>
      </c>
      <c r="L54" s="37">
        <f t="shared" si="0"/>
        <v>1726781.6150000002</v>
      </c>
      <c r="M54" s="37">
        <f t="shared" si="0"/>
        <v>1717834.5599999998</v>
      </c>
      <c r="N54" s="37">
        <f t="shared" si="0"/>
        <v>1708887.5049999999</v>
      </c>
      <c r="O54" s="37">
        <f t="shared" si="0"/>
        <v>1699940.4500000002</v>
      </c>
      <c r="P54" s="37">
        <f t="shared" si="0"/>
        <v>1690993.3949999998</v>
      </c>
      <c r="Q54" s="37">
        <f t="shared" si="0"/>
        <v>1682046.3399999999</v>
      </c>
      <c r="R54" s="37">
        <f t="shared" si="0"/>
        <v>1673099.2850000001</v>
      </c>
      <c r="S54" s="37">
        <f t="shared" si="0"/>
        <v>1664152.23</v>
      </c>
      <c r="T54" s="37">
        <f t="shared" si="0"/>
        <v>1655205.1749999998</v>
      </c>
      <c r="U54" s="37">
        <f t="shared" si="0"/>
        <v>1646258.12</v>
      </c>
      <c r="V54" s="37">
        <f t="shared" si="0"/>
        <v>1637311.0650000002</v>
      </c>
      <c r="W54" s="37">
        <f t="shared" si="0"/>
        <v>1628364.0099999998</v>
      </c>
      <c r="X54" s="37">
        <f t="shared" si="0"/>
        <v>1619416.9550000001</v>
      </c>
      <c r="Y54" s="37">
        <f t="shared" si="0"/>
        <v>1610469.9000000004</v>
      </c>
      <c r="Z54" s="37">
        <f t="shared" si="0"/>
        <v>1601522.8450000002</v>
      </c>
      <c r="AA54" s="37">
        <f t="shared" si="0"/>
        <v>1592575.7900000003</v>
      </c>
      <c r="AB54" s="37">
        <f t="shared" si="0"/>
        <v>1583628.7349999999</v>
      </c>
      <c r="AC54" s="38">
        <f>SUM(AC42:AC53)</f>
        <v>1574681.68</v>
      </c>
    </row>
    <row r="55" spans="1:30" ht="14.45" x14ac:dyDescent="0.3">
      <c r="A55" s="27"/>
      <c r="B55" s="2">
        <f>D54/8000</f>
        <v>223.67637500000001</v>
      </c>
      <c r="C55" s="40"/>
      <c r="D55" s="242"/>
      <c r="E55" s="35"/>
      <c r="F55" s="35"/>
      <c r="G55" s="35"/>
      <c r="H55" s="35"/>
      <c r="I55" s="35"/>
      <c r="J55" s="35"/>
      <c r="K55" s="35"/>
      <c r="L55" s="35"/>
      <c r="M55" s="35"/>
      <c r="N55" s="35"/>
      <c r="O55" s="35"/>
      <c r="P55" s="35"/>
      <c r="Q55" s="35"/>
      <c r="R55" s="35"/>
      <c r="S55" s="35"/>
      <c r="T55" s="35"/>
      <c r="U55" s="35"/>
      <c r="V55" s="35"/>
      <c r="W55" s="35"/>
      <c r="X55" s="35"/>
      <c r="Y55" s="35"/>
      <c r="Z55" s="35"/>
      <c r="AA55" s="35"/>
      <c r="AB55" s="35"/>
      <c r="AC55" s="35"/>
    </row>
    <row r="56" spans="1:30" thickBot="1" x14ac:dyDescent="0.35">
      <c r="A56" s="7"/>
      <c r="C56" s="10" t="s">
        <v>321</v>
      </c>
    </row>
    <row r="57" spans="1:30" s="301" customFormat="1" ht="14.45" x14ac:dyDescent="0.3">
      <c r="A57" s="300"/>
      <c r="C57" s="296" t="s">
        <v>58</v>
      </c>
      <c r="D57" s="58" t="s">
        <v>60</v>
      </c>
      <c r="E57" s="303">
        <v>2016</v>
      </c>
      <c r="F57" s="303">
        <v>2017</v>
      </c>
      <c r="G57" s="303">
        <v>2018</v>
      </c>
      <c r="H57" s="303">
        <v>2019</v>
      </c>
      <c r="I57" s="303">
        <v>2020</v>
      </c>
      <c r="J57" s="303">
        <v>2021</v>
      </c>
      <c r="K57" s="303">
        <v>2022</v>
      </c>
      <c r="L57" s="303">
        <v>2023</v>
      </c>
      <c r="M57" s="303">
        <v>2024</v>
      </c>
      <c r="N57" s="303">
        <v>2025</v>
      </c>
      <c r="O57" s="303">
        <v>2026</v>
      </c>
      <c r="P57" s="303">
        <v>2027</v>
      </c>
      <c r="Q57" s="303">
        <v>2028</v>
      </c>
      <c r="R57" s="303">
        <v>2029</v>
      </c>
      <c r="S57" s="303">
        <v>2030</v>
      </c>
      <c r="T57" s="303">
        <v>2031</v>
      </c>
      <c r="U57" s="303">
        <v>2032</v>
      </c>
      <c r="V57" s="303">
        <v>2033</v>
      </c>
      <c r="W57" s="303">
        <v>2034</v>
      </c>
      <c r="X57" s="303">
        <v>2035</v>
      </c>
      <c r="Y57" s="303">
        <v>2036</v>
      </c>
      <c r="Z57" s="303">
        <v>2037</v>
      </c>
      <c r="AA57" s="303">
        <v>2038</v>
      </c>
      <c r="AB57" s="303">
        <v>2039</v>
      </c>
      <c r="AC57" s="304">
        <v>2040</v>
      </c>
      <c r="AD57" s="302"/>
    </row>
    <row r="58" spans="1:30" ht="14.45" x14ac:dyDescent="0.3">
      <c r="A58" s="26"/>
      <c r="C58" s="24" t="s">
        <v>46</v>
      </c>
      <c r="D58" s="240">
        <f>D42</f>
        <v>81785</v>
      </c>
      <c r="E58" s="21">
        <f>E74+E90</f>
        <v>4137.3654240600008</v>
      </c>
      <c r="F58" s="21">
        <f t="shared" ref="F58:AC58" si="1">F74+F90</f>
        <v>4231.1222619346245</v>
      </c>
      <c r="G58" s="21">
        <f t="shared" si="1"/>
        <v>4326.8944585007466</v>
      </c>
      <c r="H58" s="21">
        <f t="shared" si="1"/>
        <v>4424.7216086670323</v>
      </c>
      <c r="I58" s="21">
        <f t="shared" si="1"/>
        <v>4524.643951269255</v>
      </c>
      <c r="J58" s="21">
        <f t="shared" si="1"/>
        <v>4626.7023742721194</v>
      </c>
      <c r="K58" s="21">
        <f t="shared" si="1"/>
        <v>4730.9384197626432</v>
      </c>
      <c r="L58" s="21">
        <f t="shared" si="1"/>
        <v>4837.3942887195089</v>
      </c>
      <c r="M58" s="21">
        <f t="shared" si="1"/>
        <v>4946.1128455420476</v>
      </c>
      <c r="N58" s="21">
        <f t="shared" si="1"/>
        <v>5057.1376223218249</v>
      </c>
      <c r="O58" s="21">
        <f t="shared" si="1"/>
        <v>5170.5128228390085</v>
      </c>
      <c r="P58" s="21">
        <f t="shared" si="1"/>
        <v>5286.2833262649119</v>
      </c>
      <c r="Q58" s="21">
        <f t="shared" si="1"/>
        <v>5404.4946905512943</v>
      </c>
      <c r="R58" s="21">
        <f t="shared" si="1"/>
        <v>5525.1931554861276</v>
      </c>
      <c r="S58" s="21">
        <f t="shared" si="1"/>
        <v>5648.4256453946919</v>
      </c>
      <c r="T58" s="21">
        <f t="shared" si="1"/>
        <v>5774.2397714638864</v>
      </c>
      <c r="U58" s="21">
        <f t="shared" si="1"/>
        <v>5902.6838336667424</v>
      </c>
      <c r="V58" s="21">
        <f t="shared" si="1"/>
        <v>6033.8068222630991</v>
      </c>
      <c r="W58" s="21">
        <f t="shared" si="1"/>
        <v>6167.6584188514007</v>
      </c>
      <c r="X58" s="21">
        <f t="shared" si="1"/>
        <v>6304.2889969454955</v>
      </c>
      <c r="Y58" s="21">
        <f t="shared" si="1"/>
        <v>6443.7496220491967</v>
      </c>
      <c r="Z58" s="21">
        <f t="shared" si="1"/>
        <v>6586.0920512002631</v>
      </c>
      <c r="AA58" s="21">
        <f t="shared" si="1"/>
        <v>6731.3687319542241</v>
      </c>
      <c r="AB58" s="21">
        <f t="shared" si="1"/>
        <v>6879.6328007772572</v>
      </c>
      <c r="AC58" s="28">
        <f t="shared" si="1"/>
        <v>7030.9380808160477</v>
      </c>
    </row>
    <row r="59" spans="1:30" ht="14.45" x14ac:dyDescent="0.3">
      <c r="A59" s="26"/>
      <c r="C59" s="24" t="s">
        <v>47</v>
      </c>
      <c r="D59" s="240">
        <f t="shared" ref="D59:D69" si="2">D43</f>
        <v>103394</v>
      </c>
      <c r="E59" s="21">
        <f t="shared" ref="E59:AC59" si="3">E75+E91</f>
        <v>5230.5283445040004</v>
      </c>
      <c r="F59" s="21">
        <f t="shared" si="3"/>
        <v>5349.057347318806</v>
      </c>
      <c r="G59" s="21">
        <f t="shared" si="3"/>
        <v>5470.1342011643483</v>
      </c>
      <c r="H59" s="21">
        <f t="shared" si="3"/>
        <v>5593.8089626033998</v>
      </c>
      <c r="I59" s="21">
        <f t="shared" si="3"/>
        <v>5720.132502262436</v>
      </c>
      <c r="J59" s="21">
        <f t="shared" si="3"/>
        <v>5849.1565114078549</v>
      </c>
      <c r="K59" s="21">
        <f t="shared" si="3"/>
        <v>5980.9335082587122</v>
      </c>
      <c r="L59" s="21">
        <f t="shared" si="3"/>
        <v>6115.5168440161997</v>
      </c>
      <c r="M59" s="21">
        <f t="shared" si="3"/>
        <v>6252.9607085892821</v>
      </c>
      <c r="N59" s="21">
        <f t="shared" si="3"/>
        <v>6393.3201359948971</v>
      </c>
      <c r="O59" s="21">
        <f t="shared" si="3"/>
        <v>6536.6510094102387</v>
      </c>
      <c r="P59" s="21">
        <f t="shared" si="3"/>
        <v>6683.0100658535721</v>
      </c>
      <c r="Q59" s="21">
        <f t="shared" si="3"/>
        <v>6832.4549004690416</v>
      </c>
      <c r="R59" s="21">
        <f t="shared" si="3"/>
        <v>6985.0439703898355</v>
      </c>
      <c r="S59" s="21">
        <f t="shared" si="3"/>
        <v>7140.8365981529478</v>
      </c>
      <c r="T59" s="21">
        <f t="shared" si="3"/>
        <v>7299.8929746376143</v>
      </c>
      <c r="U59" s="21">
        <f t="shared" si="3"/>
        <v>7462.2741614983097</v>
      </c>
      <c r="V59" s="21">
        <f t="shared" si="3"/>
        <v>7628.0420930619421</v>
      </c>
      <c r="W59" s="21">
        <f t="shared" si="3"/>
        <v>7797.259577657539</v>
      </c>
      <c r="X59" s="21">
        <f t="shared" si="3"/>
        <v>7969.9902983454504</v>
      </c>
      <c r="Y59" s="21">
        <f t="shared" si="3"/>
        <v>8146.2988130116119</v>
      </c>
      <c r="Z59" s="21">
        <f t="shared" si="3"/>
        <v>8326.2505537910383</v>
      </c>
      <c r="AA59" s="21">
        <f t="shared" si="3"/>
        <v>8509.9118257831524</v>
      </c>
      <c r="AB59" s="21">
        <f t="shared" si="3"/>
        <v>8697.3498050200378</v>
      </c>
      <c r="AC59" s="28">
        <f t="shared" si="3"/>
        <v>8888.6325356470552</v>
      </c>
    </row>
    <row r="60" spans="1:30" ht="14.45" x14ac:dyDescent="0.3">
      <c r="A60" s="26"/>
      <c r="C60" s="24" t="s">
        <v>48</v>
      </c>
      <c r="D60" s="240">
        <f t="shared" si="2"/>
        <v>148104</v>
      </c>
      <c r="E60" s="21">
        <f t="shared" ref="E60:AC60" si="4">E76+E92</f>
        <v>7492.3319528640004</v>
      </c>
      <c r="F60" s="21">
        <f t="shared" si="4"/>
        <v>7662.1156872478532</v>
      </c>
      <c r="G60" s="21">
        <f t="shared" si="4"/>
        <v>7835.5490234369936</v>
      </c>
      <c r="H60" s="21">
        <f t="shared" si="4"/>
        <v>8012.7036636305202</v>
      </c>
      <c r="I60" s="21">
        <f t="shared" si="4"/>
        <v>8193.6524761115325</v>
      </c>
      <c r="J60" s="21">
        <f t="shared" si="4"/>
        <v>8378.4695046670895</v>
      </c>
      <c r="K60" s="21">
        <f t="shared" si="4"/>
        <v>8567.2299776306972</v>
      </c>
      <c r="L60" s="21">
        <f t="shared" si="4"/>
        <v>8760.010316519094</v>
      </c>
      <c r="M60" s="21">
        <f t="shared" si="4"/>
        <v>8956.8881442337752</v>
      </c>
      <c r="N60" s="21">
        <f t="shared" si="4"/>
        <v>9157.9422927963751</v>
      </c>
      <c r="O60" s="21">
        <f t="shared" si="4"/>
        <v>9363.2528105856618</v>
      </c>
      <c r="P60" s="21">
        <f t="shared" si="4"/>
        <v>9572.9009690424718</v>
      </c>
      <c r="Q60" s="21">
        <f t="shared" si="4"/>
        <v>9786.9692688073446</v>
      </c>
      <c r="R60" s="21">
        <f t="shared" si="4"/>
        <v>10005.541445254235</v>
      </c>
      <c r="S60" s="21">
        <f t="shared" si="4"/>
        <v>10228.702473381862</v>
      </c>
      <c r="T60" s="21">
        <f t="shared" si="4"/>
        <v>10456.538572022837</v>
      </c>
      <c r="U60" s="21">
        <f t="shared" si="4"/>
        <v>10689.137207328718</v>
      </c>
      <c r="V60" s="21">
        <f t="shared" si="4"/>
        <v>10926.587095487608</v>
      </c>
      <c r="W60" s="21">
        <f t="shared" si="4"/>
        <v>11168.97820462882</v>
      </c>
      <c r="X60" s="21">
        <f t="shared" si="4"/>
        <v>11416.401755867404</v>
      </c>
      <c r="Y60" s="21">
        <f t="shared" si="4"/>
        <v>11668.950223439191</v>
      </c>
      <c r="Z60" s="21">
        <f t="shared" si="4"/>
        <v>11926.717333874964</v>
      </c>
      <c r="AA60" s="21">
        <f t="shared" si="4"/>
        <v>12189.798064160281</v>
      </c>
      <c r="AB60" s="21">
        <f t="shared" si="4"/>
        <v>12458.288638825152</v>
      </c>
      <c r="AC60" s="28">
        <f t="shared" si="4"/>
        <v>12732.286525905482</v>
      </c>
    </row>
    <row r="61" spans="1:30" ht="14.45" x14ac:dyDescent="0.3">
      <c r="A61" s="26"/>
      <c r="C61" s="24" t="s">
        <v>49</v>
      </c>
      <c r="D61" s="240">
        <f t="shared" si="2"/>
        <v>167643</v>
      </c>
      <c r="E61" s="21">
        <f t="shared" ref="E61:AC61" si="5">E77+E93</f>
        <v>8480.7770591880017</v>
      </c>
      <c r="F61" s="21">
        <f t="shared" si="5"/>
        <v>8672.9599481262612</v>
      </c>
      <c r="G61" s="21">
        <f t="shared" si="5"/>
        <v>8869.2739219470641</v>
      </c>
      <c r="H61" s="21">
        <f t="shared" si="5"/>
        <v>9069.8001423459955</v>
      </c>
      <c r="I61" s="21">
        <f t="shared" si="5"/>
        <v>9274.6210909412694</v>
      </c>
      <c r="J61" s="21">
        <f t="shared" si="5"/>
        <v>9483.8205799364277</v>
      </c>
      <c r="K61" s="21">
        <f t="shared" si="5"/>
        <v>9697.4837623557978</v>
      </c>
      <c r="L61" s="21">
        <f t="shared" si="5"/>
        <v>9915.6971418206849</v>
      </c>
      <c r="M61" s="21">
        <f t="shared" si="5"/>
        <v>10138.548581832922</v>
      </c>
      <c r="N61" s="21">
        <f t="shared" si="5"/>
        <v>10366.127314530753</v>
      </c>
      <c r="O61" s="21">
        <f t="shared" si="5"/>
        <v>10598.5239488806</v>
      </c>
      <c r="P61" s="21">
        <f t="shared" si="5"/>
        <v>10835.830478266536</v>
      </c>
      <c r="Q61" s="21">
        <f t="shared" si="5"/>
        <v>11078.140287437678</v>
      </c>
      <c r="R61" s="21">
        <f t="shared" si="5"/>
        <v>11325.548158771915</v>
      </c>
      <c r="S61" s="21">
        <f t="shared" si="5"/>
        <v>11578.150277812587</v>
      </c>
      <c r="T61" s="21">
        <f t="shared" si="5"/>
        <v>11836.044238032897</v>
      </c>
      <c r="U61" s="21">
        <f t="shared" si="5"/>
        <v>12099.329044780752</v>
      </c>
      <c r="V61" s="21">
        <f t="shared" si="5"/>
        <v>12368.105118354866</v>
      </c>
      <c r="W61" s="21">
        <f t="shared" si="5"/>
        <v>12642.474296160732</v>
      </c>
      <c r="X61" s="21">
        <f t="shared" si="5"/>
        <v>12922.539833892935</v>
      </c>
      <c r="Y61" s="21">
        <f t="shared" si="5"/>
        <v>13208.406405688005</v>
      </c>
      <c r="Z61" s="21">
        <f t="shared" si="5"/>
        <v>13500.180103189654</v>
      </c>
      <c r="AA61" s="21">
        <f t="shared" si="5"/>
        <v>13797.968433465821</v>
      </c>
      <c r="AB61" s="21">
        <f t="shared" si="5"/>
        <v>14101.880315714394</v>
      </c>
      <c r="AC61" s="28">
        <f t="shared" si="5"/>
        <v>14412.026076691869</v>
      </c>
    </row>
    <row r="62" spans="1:30" x14ac:dyDescent="0.25">
      <c r="A62" s="26"/>
      <c r="C62" s="24" t="s">
        <v>50</v>
      </c>
      <c r="D62" s="240">
        <f t="shared" si="2"/>
        <v>221692</v>
      </c>
      <c r="E62" s="21">
        <f t="shared" ref="E62:AC62" si="6">E78+E94</f>
        <v>11215.024950671999</v>
      </c>
      <c r="F62" s="21">
        <f t="shared" si="6"/>
        <v>11469.168631079181</v>
      </c>
      <c r="G62" s="21">
        <f t="shared" si="6"/>
        <v>11728.775280234118</v>
      </c>
      <c r="H62" s="21">
        <f t="shared" si="6"/>
        <v>11993.952226797232</v>
      </c>
      <c r="I62" s="21">
        <f t="shared" si="6"/>
        <v>12264.808544901676</v>
      </c>
      <c r="J62" s="21">
        <f t="shared" si="6"/>
        <v>12541.455068253768</v>
      </c>
      <c r="K62" s="21">
        <f t="shared" si="6"/>
        <v>12824.004403668398</v>
      </c>
      <c r="L62" s="21">
        <f t="shared" si="6"/>
        <v>13112.570943997131</v>
      </c>
      <c r="M62" s="21">
        <f t="shared" si="6"/>
        <v>13407.270880404809</v>
      </c>
      <c r="N62" s="21">
        <f t="shared" si="6"/>
        <v>13708.2222139484</v>
      </c>
      <c r="O62" s="21">
        <f t="shared" si="6"/>
        <v>14015.544766409799</v>
      </c>
      <c r="P62" s="21">
        <f t="shared" si="6"/>
        <v>14329.360190332225</v>
      </c>
      <c r="Q62" s="21">
        <f t="shared" si="6"/>
        <v>14649.791978207464</v>
      </c>
      <c r="R62" s="21">
        <f t="shared" si="6"/>
        <v>14976.965470759073</v>
      </c>
      <c r="S62" s="21">
        <f t="shared" si="6"/>
        <v>15311.007864264109</v>
      </c>
      <c r="T62" s="21">
        <f t="shared" si="6"/>
        <v>15652.048216853605</v>
      </c>
      <c r="U62" s="21">
        <f t="shared" si="6"/>
        <v>16000.217453729261</v>
      </c>
      <c r="V62" s="21">
        <f t="shared" si="6"/>
        <v>16355.648371231289</v>
      </c>
      <c r="W62" s="21">
        <f t="shared" si="6"/>
        <v>16718.475639689488</v>
      </c>
      <c r="X62" s="21">
        <f t="shared" si="6"/>
        <v>17088.835804986746</v>
      </c>
      <c r="Y62" s="21">
        <f t="shared" si="6"/>
        <v>17466.86728876115</v>
      </c>
      <c r="Z62" s="21">
        <f t="shared" si="6"/>
        <v>17852.710387169882</v>
      </c>
      <c r="AA62" s="21">
        <f t="shared" si="6"/>
        <v>18246.507268134694</v>
      </c>
      <c r="AB62" s="21">
        <f t="shared" si="6"/>
        <v>18648.401966985533</v>
      </c>
      <c r="AC62" s="28">
        <f t="shared" si="6"/>
        <v>19058.540380415368</v>
      </c>
    </row>
    <row r="63" spans="1:30" x14ac:dyDescent="0.25">
      <c r="A63" s="26"/>
      <c r="C63" s="24" t="s">
        <v>51</v>
      </c>
      <c r="D63" s="240">
        <f t="shared" si="2"/>
        <v>219337</v>
      </c>
      <c r="E63" s="21">
        <f t="shared" ref="E63:AC63" si="7">E79+E95</f>
        <v>11095.889466492001</v>
      </c>
      <c r="F63" s="21">
        <f t="shared" si="7"/>
        <v>11347.333417692178</v>
      </c>
      <c r="G63" s="21">
        <f t="shared" si="7"/>
        <v>11604.1823053638</v>
      </c>
      <c r="H63" s="21">
        <f t="shared" si="7"/>
        <v>11866.542318031434</v>
      </c>
      <c r="I63" s="21">
        <f t="shared" si="7"/>
        <v>12134.521371150513</v>
      </c>
      <c r="J63" s="21">
        <f t="shared" si="7"/>
        <v>12408.229121057941</v>
      </c>
      <c r="K63" s="21">
        <f t="shared" si="7"/>
        <v>12687.776978363745</v>
      </c>
      <c r="L63" s="21">
        <f t="shared" si="7"/>
        <v>12973.278120741834</v>
      </c>
      <c r="M63" s="21">
        <f t="shared" si="7"/>
        <v>13264.847505076186</v>
      </c>
      <c r="N63" s="21">
        <f t="shared" si="7"/>
        <v>13562.601878916696</v>
      </c>
      <c r="O63" s="21">
        <f t="shared" si="7"/>
        <v>13866.659791196913</v>
      </c>
      <c r="P63" s="21">
        <f t="shared" si="7"/>
        <v>14177.141602163809</v>
      </c>
      <c r="Q63" s="21">
        <f t="shared" si="7"/>
        <v>14494.169492467436</v>
      </c>
      <c r="R63" s="21">
        <f t="shared" si="7"/>
        <v>14817.867471356127</v>
      </c>
      <c r="S63" s="21">
        <f t="shared" si="7"/>
        <v>15148.361383920468</v>
      </c>
      <c r="T63" s="21">
        <f t="shared" si="7"/>
        <v>15485.77891732683</v>
      </c>
      <c r="U63" s="21">
        <f t="shared" si="7"/>
        <v>15830.249605978632</v>
      </c>
      <c r="V63" s="21">
        <f t="shared" si="7"/>
        <v>16181.904835541009</v>
      </c>
      <c r="W63" s="21">
        <f t="shared" si="7"/>
        <v>16540.87784576157</v>
      </c>
      <c r="X63" s="21">
        <f t="shared" si="7"/>
        <v>16907.303732017292</v>
      </c>
      <c r="Y63" s="21">
        <f t="shared" si="7"/>
        <v>17281.319445514517</v>
      </c>
      <c r="Z63" s="21">
        <f t="shared" si="7"/>
        <v>17663.063792065932</v>
      </c>
      <c r="AA63" s="21">
        <f t="shared" si="7"/>
        <v>18052.677429365336</v>
      </c>
      <c r="AB63" s="21">
        <f t="shared" si="7"/>
        <v>18450.302862677527</v>
      </c>
      <c r="AC63" s="28">
        <f t="shared" si="7"/>
        <v>18856.084438857361</v>
      </c>
    </row>
    <row r="64" spans="1:30" x14ac:dyDescent="0.25">
      <c r="A64" s="26"/>
      <c r="C64" s="24" t="s">
        <v>52</v>
      </c>
      <c r="D64" s="240">
        <f t="shared" si="2"/>
        <v>221047</v>
      </c>
      <c r="E64" s="21">
        <f t="shared" ref="E64:AC64" si="8">E80+E96</f>
        <v>11182.395486852001</v>
      </c>
      <c r="F64" s="21">
        <f t="shared" si="8"/>
        <v>11435.799750979553</v>
      </c>
      <c r="G64" s="21">
        <f t="shared" si="8"/>
        <v>11694.651089664541</v>
      </c>
      <c r="H64" s="21">
        <f t="shared" si="8"/>
        <v>11959.056519300866</v>
      </c>
      <c r="I64" s="21">
        <f t="shared" si="8"/>
        <v>12229.124796676835</v>
      </c>
      <c r="J64" s="21">
        <f t="shared" si="8"/>
        <v>12504.966433034529</v>
      </c>
      <c r="K64" s="21">
        <f t="shared" si="8"/>
        <v>12786.69370756585</v>
      </c>
      <c r="L64" s="21">
        <f t="shared" si="8"/>
        <v>13074.420680303005</v>
      </c>
      <c r="M64" s="21">
        <f t="shared" si="8"/>
        <v>13368.263204359391</v>
      </c>
      <c r="N64" s="21">
        <f t="shared" si="8"/>
        <v>13668.338937474748</v>
      </c>
      <c r="O64" s="21">
        <f t="shared" si="8"/>
        <v>13974.767352816461</v>
      </c>
      <c r="P64" s="21">
        <f t="shared" si="8"/>
        <v>14287.669748986735</v>
      </c>
      <c r="Q64" s="21">
        <f t="shared" si="8"/>
        <v>14607.169259183125</v>
      </c>
      <c r="R64" s="21">
        <f t="shared" si="8"/>
        <v>14933.390859457628</v>
      </c>
      <c r="S64" s="21">
        <f t="shared" si="8"/>
        <v>15266.461376017125</v>
      </c>
      <c r="T64" s="21">
        <f t="shared" si="8"/>
        <v>15606.509491505509</v>
      </c>
      <c r="U64" s="21">
        <f t="shared" si="8"/>
        <v>15953.665750205204</v>
      </c>
      <c r="V64" s="21">
        <f t="shared" si="8"/>
        <v>16308.062562093186</v>
      </c>
      <c r="W64" s="21">
        <f t="shared" si="8"/>
        <v>16669.834205683754</v>
      </c>
      <c r="X64" s="21">
        <f t="shared" si="8"/>
        <v>17039.116829587467</v>
      </c>
      <c r="Y64" s="21">
        <f t="shared" si="8"/>
        <v>17416.048452712708</v>
      </c>
      <c r="Z64" s="21">
        <f t="shared" si="8"/>
        <v>17800.76896303313</v>
      </c>
      <c r="AA64" s="21">
        <f t="shared" si="8"/>
        <v>18193.420114841178</v>
      </c>
      <c r="AB64" s="21">
        <f t="shared" si="8"/>
        <v>18594.145524404361</v>
      </c>
      <c r="AC64" s="28">
        <f t="shared" si="8"/>
        <v>19003.090663937703</v>
      </c>
    </row>
    <row r="65" spans="1:30" x14ac:dyDescent="0.25">
      <c r="A65" s="26"/>
      <c r="C65" s="24" t="s">
        <v>53</v>
      </c>
      <c r="D65" s="240">
        <f t="shared" si="2"/>
        <v>191515</v>
      </c>
      <c r="E65" s="21">
        <f t="shared" ref="E65:AC65" si="9">E81+E97</f>
        <v>9688.4213387400014</v>
      </c>
      <c r="F65" s="21">
        <f t="shared" si="9"/>
        <v>9907.9706546971884</v>
      </c>
      <c r="G65" s="21">
        <f t="shared" si="9"/>
        <v>10132.239313074164</v>
      </c>
      <c r="H65" s="21">
        <f t="shared" si="9"/>
        <v>10361.320032816122</v>
      </c>
      <c r="I65" s="21">
        <f t="shared" si="9"/>
        <v>10595.307040745018</v>
      </c>
      <c r="J65" s="21">
        <f t="shared" si="9"/>
        <v>10834.296083740599</v>
      </c>
      <c r="K65" s="21">
        <f t="shared" si="9"/>
        <v>11078.384440433363</v>
      </c>
      <c r="L65" s="21">
        <f t="shared" si="9"/>
        <v>11327.67093237289</v>
      </c>
      <c r="M65" s="21">
        <f t="shared" si="9"/>
        <v>11582.255934633307</v>
      </c>
      <c r="N65" s="21">
        <f t="shared" si="9"/>
        <v>11842.241385816031</v>
      </c>
      <c r="O65" s="21">
        <f t="shared" si="9"/>
        <v>12107.730797407992</v>
      </c>
      <c r="P65" s="21">
        <f t="shared" si="9"/>
        <v>12378.829262451851</v>
      </c>
      <c r="Q65" s="21">
        <f t="shared" si="9"/>
        <v>12655.64346348268</v>
      </c>
      <c r="R65" s="21">
        <f t="shared" si="9"/>
        <v>12938.281679683634</v>
      </c>
      <c r="S65" s="21">
        <f t="shared" si="9"/>
        <v>13226.853793211034</v>
      </c>
      <c r="T65" s="21">
        <f t="shared" si="9"/>
        <v>13521.471294637236</v>
      </c>
      <c r="U65" s="21">
        <f t="shared" si="9"/>
        <v>13822.247287457192</v>
      </c>
      <c r="V65" s="21">
        <f t="shared" si="9"/>
        <v>14129.296491602585</v>
      </c>
      <c r="W65" s="21">
        <f t="shared" si="9"/>
        <v>14442.735245904823</v>
      </c>
      <c r="X65" s="21">
        <f t="shared" si="9"/>
        <v>14762.681509445702</v>
      </c>
      <c r="Y65" s="21">
        <f t="shared" si="9"/>
        <v>15089.254861732003</v>
      </c>
      <c r="Z65" s="21">
        <f t="shared" si="9"/>
        <v>15422.576501627665</v>
      </c>
      <c r="AA65" s="21">
        <f t="shared" si="9"/>
        <v>15762.769244974181</v>
      </c>
      <c r="AB65" s="21">
        <f t="shared" si="9"/>
        <v>16109.957520827247</v>
      </c>
      <c r="AC65" s="28">
        <f t="shared" si="9"/>
        <v>16464.26736623446</v>
      </c>
    </row>
    <row r="66" spans="1:30" x14ac:dyDescent="0.25">
      <c r="A66" s="26"/>
      <c r="C66" s="24" t="s">
        <v>54</v>
      </c>
      <c r="D66" s="240">
        <f t="shared" si="2"/>
        <v>160463</v>
      </c>
      <c r="E66" s="21">
        <f t="shared" ref="E66:AC66" si="10">E82+E98</f>
        <v>8117.5529503080015</v>
      </c>
      <c r="F66" s="21">
        <f t="shared" si="10"/>
        <v>8301.5048177149311</v>
      </c>
      <c r="G66" s="21">
        <f t="shared" si="10"/>
        <v>8489.4108393275692</v>
      </c>
      <c r="H66" s="21">
        <f t="shared" si="10"/>
        <v>8681.3487007585481</v>
      </c>
      <c r="I66" s="21">
        <f t="shared" si="10"/>
        <v>8877.3973510120231</v>
      </c>
      <c r="J66" s="21">
        <f t="shared" si="10"/>
        <v>9077.6370126896982</v>
      </c>
      <c r="K66" s="21">
        <f t="shared" si="10"/>
        <v>9282.1491917878957</v>
      </c>
      <c r="L66" s="21">
        <f t="shared" si="10"/>
        <v>9491.0166870550656</v>
      </c>
      <c r="M66" s="21">
        <f t="shared" si="10"/>
        <v>9704.3235988777087</v>
      </c>
      <c r="N66" s="21">
        <f t="shared" si="10"/>
        <v>9922.1553376612683</v>
      </c>
      <c r="O66" s="21">
        <f t="shared" si="10"/>
        <v>10144.598631671039</v>
      </c>
      <c r="P66" s="21">
        <f t="shared" si="10"/>
        <v>10371.741534296591</v>
      </c>
      <c r="Q66" s="21">
        <f t="shared" si="10"/>
        <v>10603.673430701623</v>
      </c>
      <c r="R66" s="21">
        <f t="shared" si="10"/>
        <v>10840.485043819412</v>
      </c>
      <c r="S66" s="21">
        <f t="shared" si="10"/>
        <v>11082.268439652364</v>
      </c>
      <c r="T66" s="21">
        <f t="shared" si="10"/>
        <v>11329.117031832362</v>
      </c>
      <c r="U66" s="21">
        <f t="shared" si="10"/>
        <v>11581.12558539667</v>
      </c>
      <c r="V66" s="21">
        <f t="shared" si="10"/>
        <v>11838.390219732271</v>
      </c>
      <c r="W66" s="21">
        <f t="shared" si="10"/>
        <v>12101.008410639512</v>
      </c>
      <c r="X66" s="21">
        <f t="shared" si="10"/>
        <v>12369.078991463779</v>
      </c>
      <c r="Y66" s="21">
        <f t="shared" si="10"/>
        <v>12642.702153241797</v>
      </c>
      <c r="Z66" s="21">
        <f t="shared" si="10"/>
        <v>12921.979443806909</v>
      </c>
      <c r="AA66" s="21">
        <f t="shared" si="10"/>
        <v>13207.013765795327</v>
      </c>
      <c r="AB66" s="21">
        <f t="shared" si="10"/>
        <v>13497.909373492954</v>
      </c>
      <c r="AC66" s="28">
        <f t="shared" si="10"/>
        <v>13794.771868459808</v>
      </c>
    </row>
    <row r="67" spans="1:30" x14ac:dyDescent="0.25">
      <c r="A67" s="26"/>
      <c r="C67" s="24" t="s">
        <v>55</v>
      </c>
      <c r="D67" s="240">
        <f t="shared" si="2"/>
        <v>127379</v>
      </c>
      <c r="E67" s="21">
        <f t="shared" ref="E67:AC67" si="11">E83+E99</f>
        <v>6443.8891037640005</v>
      </c>
      <c r="F67" s="21">
        <f t="shared" si="11"/>
        <v>6589.9140747443971</v>
      </c>
      <c r="G67" s="21">
        <f t="shared" si="11"/>
        <v>6739.0779388563496</v>
      </c>
      <c r="H67" s="21">
        <f t="shared" si="11"/>
        <v>6891.4423646194027</v>
      </c>
      <c r="I67" s="21">
        <f t="shared" si="11"/>
        <v>7047.0700234606156</v>
      </c>
      <c r="J67" s="21">
        <f t="shared" si="11"/>
        <v>7206.0245978163257</v>
      </c>
      <c r="K67" s="21">
        <f t="shared" si="11"/>
        <v>7368.3707889092839</v>
      </c>
      <c r="L67" s="21">
        <f t="shared" si="11"/>
        <v>7534.1743241768336</v>
      </c>
      <c r="M67" s="21">
        <f t="shared" si="11"/>
        <v>7703.5019643247579</v>
      </c>
      <c r="N67" s="21">
        <f t="shared" si="11"/>
        <v>7876.4215099802113</v>
      </c>
      <c r="O67" s="21">
        <f t="shared" si="11"/>
        <v>8053.0018079159981</v>
      </c>
      <c r="P67" s="21">
        <f t="shared" si="11"/>
        <v>8233.312756817244</v>
      </c>
      <c r="Q67" s="21">
        <f t="shared" si="11"/>
        <v>8417.4253125601663</v>
      </c>
      <c r="R67" s="21">
        <f t="shared" si="11"/>
        <v>8605.4114929714196</v>
      </c>
      <c r="S67" s="21">
        <f t="shared" si="11"/>
        <v>8797.3443820349748</v>
      </c>
      <c r="T67" s="21">
        <f t="shared" si="11"/>
        <v>8993.2981335122404</v>
      </c>
      <c r="U67" s="21">
        <f t="shared" si="11"/>
        <v>9193.3479739394279</v>
      </c>
      <c r="V67" s="21">
        <f t="shared" si="11"/>
        <v>9397.5702049648626</v>
      </c>
      <c r="W67" s="21">
        <f t="shared" si="11"/>
        <v>9606.0422049871322</v>
      </c>
      <c r="X67" s="21">
        <f t="shared" si="11"/>
        <v>9818.8424300534371</v>
      </c>
      <c r="Y67" s="21">
        <f t="shared" si="11"/>
        <v>10036.050413975725</v>
      </c>
      <c r="Z67" s="21">
        <f t="shared" si="11"/>
        <v>10257.746767620449</v>
      </c>
      <c r="AA67" s="21">
        <f t="shared" si="11"/>
        <v>10484.013177325882</v>
      </c>
      <c r="AB67" s="21">
        <f t="shared" si="11"/>
        <v>10714.932402399048</v>
      </c>
      <c r="AC67" s="28">
        <f t="shared" si="11"/>
        <v>10950.58827164232</v>
      </c>
    </row>
    <row r="68" spans="1:30" x14ac:dyDescent="0.25">
      <c r="A68" s="26"/>
      <c r="C68" s="24" t="s">
        <v>56</v>
      </c>
      <c r="D68" s="240">
        <f t="shared" si="2"/>
        <v>77618</v>
      </c>
      <c r="E68" s="21">
        <f t="shared" ref="E68:AC68" si="12">E84+E100</f>
        <v>3926.5639112879999</v>
      </c>
      <c r="F68" s="21">
        <f t="shared" si="12"/>
        <v>4015.5437760816985</v>
      </c>
      <c r="G68" s="21">
        <f t="shared" si="12"/>
        <v>4106.4363157047246</v>
      </c>
      <c r="H68" s="21">
        <f t="shared" si="12"/>
        <v>4199.2791076788853</v>
      </c>
      <c r="I68" s="21">
        <f t="shared" si="12"/>
        <v>4294.1103406445809</v>
      </c>
      <c r="J68" s="21">
        <f t="shared" si="12"/>
        <v>4390.9688192975891</v>
      </c>
      <c r="K68" s="21">
        <f t="shared" si="12"/>
        <v>4489.8939691280411</v>
      </c>
      <c r="L68" s="21">
        <f t="shared" si="12"/>
        <v>4590.9258409467602</v>
      </c>
      <c r="M68" s="21">
        <f t="shared" si="12"/>
        <v>4694.1051151835009</v>
      </c>
      <c r="N68" s="21">
        <f t="shared" si="12"/>
        <v>4799.4731059408859</v>
      </c>
      <c r="O68" s="21">
        <f t="shared" si="12"/>
        <v>4907.0717647871625</v>
      </c>
      <c r="P68" s="21">
        <f t="shared" si="12"/>
        <v>5016.9436842700979</v>
      </c>
      <c r="Q68" s="21">
        <f t="shared" si="12"/>
        <v>5129.1321011335858</v>
      </c>
      <c r="R68" s="21">
        <f t="shared" si="12"/>
        <v>5243.6808992177321</v>
      </c>
      <c r="S68" s="21">
        <f t="shared" si="12"/>
        <v>5360.634612022317</v>
      </c>
      <c r="T68" s="21">
        <f t="shared" si="12"/>
        <v>5480.0384249126864</v>
      </c>
      <c r="U68" s="21">
        <f t="shared" si="12"/>
        <v>5601.9381769462034</v>
      </c>
      <c r="V68" s="21">
        <f t="shared" si="12"/>
        <v>5726.3803622964751</v>
      </c>
      <c r="W68" s="21">
        <f t="shared" si="12"/>
        <v>5853.4121312515508</v>
      </c>
      <c r="X68" s="21">
        <f t="shared" si="12"/>
        <v>5983.0812907613317</v>
      </c>
      <c r="Y68" s="21">
        <f t="shared" si="12"/>
        <v>6115.4363045083383</v>
      </c>
      <c r="Z68" s="21">
        <f t="shared" si="12"/>
        <v>6250.5262924749286</v>
      </c>
      <c r="AA68" s="21">
        <f t="shared" si="12"/>
        <v>6388.4010299788852</v>
      </c>
      <c r="AB68" s="21">
        <f t="shared" si="12"/>
        <v>6529.1109461481847</v>
      </c>
      <c r="AC68" s="28">
        <f t="shared" si="12"/>
        <v>6672.7071218044857</v>
      </c>
    </row>
    <row r="69" spans="1:30" x14ac:dyDescent="0.25">
      <c r="A69" s="26"/>
      <c r="C69" s="32" t="s">
        <v>57</v>
      </c>
      <c r="D69" s="243">
        <f t="shared" si="2"/>
        <v>69434</v>
      </c>
      <c r="E69" s="22">
        <f t="shared" ref="E69:AC69" si="13">E85+E101</f>
        <v>3512.5491331440007</v>
      </c>
      <c r="F69" s="22">
        <f t="shared" si="13"/>
        <v>3592.1470090501771</v>
      </c>
      <c r="G69" s="22">
        <f t="shared" si="13"/>
        <v>3673.4558883846776</v>
      </c>
      <c r="H69" s="22">
        <f t="shared" si="13"/>
        <v>3756.5093865157023</v>
      </c>
      <c r="I69" s="22">
        <f t="shared" si="13"/>
        <v>3841.341665494032</v>
      </c>
      <c r="J69" s="22">
        <f t="shared" si="13"/>
        <v>3927.987438469283</v>
      </c>
      <c r="K69" s="22">
        <f t="shared" si="13"/>
        <v>4016.481973929197</v>
      </c>
      <c r="L69" s="22">
        <f t="shared" si="13"/>
        <v>4106.8610997487367</v>
      </c>
      <c r="M69" s="22">
        <f t="shared" si="13"/>
        <v>4199.1612070351102</v>
      </c>
      <c r="N69" s="22">
        <f t="shared" si="13"/>
        <v>4293.4192537542767</v>
      </c>
      <c r="O69" s="22">
        <f t="shared" si="13"/>
        <v>4389.6727681237844</v>
      </c>
      <c r="P69" s="22">
        <f t="shared" si="13"/>
        <v>4487.9598517561644</v>
      </c>
      <c r="Q69" s="22">
        <f t="shared" si="13"/>
        <v>4588.3191825363883</v>
      </c>
      <c r="R69" s="22">
        <f t="shared" si="13"/>
        <v>4690.7900172161626</v>
      </c>
      <c r="S69" s="22">
        <f t="shared" si="13"/>
        <v>4795.4121937070995</v>
      </c>
      <c r="T69" s="22">
        <f t="shared" si="13"/>
        <v>4902.2261330540268</v>
      </c>
      <c r="U69" s="22">
        <f t="shared" si="13"/>
        <v>5011.2728410688596</v>
      </c>
      <c r="V69" s="22">
        <f t="shared" si="13"/>
        <v>5122.5939096046459</v>
      </c>
      <c r="W69" s="22">
        <f t="shared" si="13"/>
        <v>5236.231517448532</v>
      </c>
      <c r="X69" s="22">
        <f t="shared" si="13"/>
        <v>5352.2284308114395</v>
      </c>
      <c r="Y69" s="22">
        <f t="shared" si="13"/>
        <v>5470.628003391379</v>
      </c>
      <c r="Z69" s="22">
        <f t="shared" si="13"/>
        <v>5591.4741759862945</v>
      </c>
      <c r="AA69" s="22">
        <f t="shared" si="13"/>
        <v>5714.8114756313471</v>
      </c>
      <c r="AB69" s="22">
        <f t="shared" si="13"/>
        <v>5840.6850142344947</v>
      </c>
      <c r="AC69" s="29">
        <f t="shared" si="13"/>
        <v>5969.140486683149</v>
      </c>
    </row>
    <row r="70" spans="1:30" ht="15.75" thickBot="1" x14ac:dyDescent="0.3">
      <c r="A70" s="27"/>
      <c r="C70" s="33" t="s">
        <v>61</v>
      </c>
      <c r="D70" s="244">
        <f>SUM(D58:D69)</f>
        <v>1789411</v>
      </c>
      <c r="E70" s="30">
        <f>SUM(E58:E69)</f>
        <v>90523.289121876005</v>
      </c>
      <c r="F70" s="30">
        <f t="shared" ref="F70:AC70" si="14">SUM(F58:F69)</f>
        <v>92574.637376666855</v>
      </c>
      <c r="G70" s="30">
        <f t="shared" si="14"/>
        <v>94670.0805756591</v>
      </c>
      <c r="H70" s="30">
        <f t="shared" si="14"/>
        <v>96810.485033765144</v>
      </c>
      <c r="I70" s="30">
        <f t="shared" si="14"/>
        <v>98996.731154669789</v>
      </c>
      <c r="J70" s="30">
        <f t="shared" si="14"/>
        <v>101229.71354464322</v>
      </c>
      <c r="K70" s="30">
        <f t="shared" si="14"/>
        <v>103510.34112179364</v>
      </c>
      <c r="L70" s="30">
        <f t="shared" si="14"/>
        <v>105839.53722041774</v>
      </c>
      <c r="M70" s="30">
        <f t="shared" si="14"/>
        <v>108218.2396900928</v>
      </c>
      <c r="N70" s="30">
        <f t="shared" si="14"/>
        <v>110647.40098913637</v>
      </c>
      <c r="O70" s="30">
        <f t="shared" si="14"/>
        <v>113127.98827204465</v>
      </c>
      <c r="P70" s="30">
        <f t="shared" si="14"/>
        <v>115660.98347050222</v>
      </c>
      <c r="Q70" s="30">
        <f t="shared" si="14"/>
        <v>118247.38336753784</v>
      </c>
      <c r="R70" s="30">
        <f t="shared" si="14"/>
        <v>120888.19966438327</v>
      </c>
      <c r="S70" s="30">
        <f t="shared" si="14"/>
        <v>123584.45903957159</v>
      </c>
      <c r="T70" s="30">
        <f t="shared" si="14"/>
        <v>126337.20319979171</v>
      </c>
      <c r="U70" s="30">
        <f t="shared" si="14"/>
        <v>129147.48892199599</v>
      </c>
      <c r="V70" s="30">
        <f t="shared" si="14"/>
        <v>132016.38808623384</v>
      </c>
      <c r="W70" s="30">
        <f t="shared" si="14"/>
        <v>134944.98769866486</v>
      </c>
      <c r="X70" s="30">
        <f t="shared" si="14"/>
        <v>137934.38990417848</v>
      </c>
      <c r="Y70" s="30">
        <f t="shared" si="14"/>
        <v>140985.71198802561</v>
      </c>
      <c r="Z70" s="30">
        <f t="shared" si="14"/>
        <v>144100.08636584113</v>
      </c>
      <c r="AA70" s="30">
        <f t="shared" si="14"/>
        <v>147278.6605614103</v>
      </c>
      <c r="AB70" s="30">
        <f t="shared" si="14"/>
        <v>150522.5971715062</v>
      </c>
      <c r="AC70" s="31">
        <f t="shared" si="14"/>
        <v>153833.07381709508</v>
      </c>
    </row>
    <row r="71" spans="1:30" x14ac:dyDescent="0.25">
      <c r="A71" s="34"/>
    </row>
    <row r="72" spans="1:30" s="257" customFormat="1" ht="15.75" thickBot="1" x14ac:dyDescent="0.3">
      <c r="A72" s="7"/>
      <c r="C72" s="10" t="s">
        <v>322</v>
      </c>
      <c r="D72" s="11"/>
    </row>
    <row r="73" spans="1:30" s="301" customFormat="1" x14ac:dyDescent="0.25">
      <c r="A73" s="300"/>
      <c r="C73" s="296" t="s">
        <v>58</v>
      </c>
      <c r="D73" s="58" t="s">
        <v>60</v>
      </c>
      <c r="E73" s="303">
        <v>2016</v>
      </c>
      <c r="F73" s="303">
        <v>2017</v>
      </c>
      <c r="G73" s="303">
        <v>2018</v>
      </c>
      <c r="H73" s="303">
        <v>2019</v>
      </c>
      <c r="I73" s="303">
        <v>2020</v>
      </c>
      <c r="J73" s="303">
        <v>2021</v>
      </c>
      <c r="K73" s="303">
        <v>2022</v>
      </c>
      <c r="L73" s="303">
        <v>2023</v>
      </c>
      <c r="M73" s="303">
        <v>2024</v>
      </c>
      <c r="N73" s="303">
        <v>2025</v>
      </c>
      <c r="O73" s="303">
        <v>2026</v>
      </c>
      <c r="P73" s="303">
        <v>2027</v>
      </c>
      <c r="Q73" s="303">
        <v>2028</v>
      </c>
      <c r="R73" s="303">
        <v>2029</v>
      </c>
      <c r="S73" s="303">
        <v>2030</v>
      </c>
      <c r="T73" s="303">
        <v>2031</v>
      </c>
      <c r="U73" s="303">
        <v>2032</v>
      </c>
      <c r="V73" s="303">
        <v>2033</v>
      </c>
      <c r="W73" s="303">
        <v>2034</v>
      </c>
      <c r="X73" s="303">
        <v>2035</v>
      </c>
      <c r="Y73" s="303">
        <v>2036</v>
      </c>
      <c r="Z73" s="303">
        <v>2037</v>
      </c>
      <c r="AA73" s="303">
        <v>2038</v>
      </c>
      <c r="AB73" s="303">
        <v>2039</v>
      </c>
      <c r="AC73" s="304">
        <v>2040</v>
      </c>
      <c r="AD73" s="302"/>
    </row>
    <row r="74" spans="1:30" s="257" customFormat="1" x14ac:dyDescent="0.25">
      <c r="A74" s="26"/>
      <c r="C74" s="24" t="s">
        <v>46</v>
      </c>
      <c r="D74" s="240">
        <f>(1-'Key_Assumptions_&amp;_Inputs'!$E$59)*Generation_Rates!D42</f>
        <v>49071</v>
      </c>
      <c r="E74" s="21">
        <f>((1-'Key_Assumptions_&amp;_Inputs'!$E$59)*(Generation_Rates!E42))*Generation_Rates!E11</f>
        <v>2960.5447020600004</v>
      </c>
      <c r="F74" s="21">
        <f>((1-'Key_Assumptions_&amp;_Inputs'!$E$59)*(Generation_Rates!F42))*Generation_Rates!F11</f>
        <v>3027.633605553382</v>
      </c>
      <c r="G74" s="21">
        <f>((1-'Key_Assumptions_&amp;_Inputs'!$E$59)*(Generation_Rates!G42))*Generation_Rates!G11</f>
        <v>3096.1646247134554</v>
      </c>
      <c r="H74" s="21">
        <f>((1-'Key_Assumptions_&amp;_Inputs'!$E$59)*(Generation_Rates!H42))*Generation_Rates!H11</f>
        <v>3166.1660921831144</v>
      </c>
      <c r="I74" s="21">
        <f>((1-'Key_Assumptions_&amp;_Inputs'!$E$59)*(Generation_Rates!I42))*Generation_Rates!I11</f>
        <v>3237.6668013755216</v>
      </c>
      <c r="J74" s="21">
        <f>((1-'Key_Assumptions_&amp;_Inputs'!$E$59)*(Generation_Rates!J42))*Generation_Rates!J11</f>
        <v>3310.6960101963437</v>
      </c>
      <c r="K74" s="21">
        <f>((1-'Key_Assumptions_&amp;_Inputs'!$E$59)*(Generation_Rates!K42))*Generation_Rates!K11</f>
        <v>3385.2834446168281</v>
      </c>
      <c r="L74" s="21">
        <f>((1-'Key_Assumptions_&amp;_Inputs'!$E$59)*(Generation_Rates!L42))*Generation_Rates!L11</f>
        <v>3461.4593020865723</v>
      </c>
      <c r="M74" s="21">
        <f>((1-'Key_Assumptions_&amp;_Inputs'!$E$59)*(Generation_Rates!M42))*Generation_Rates!M11</f>
        <v>3539.2542547742969</v>
      </c>
      <c r="N74" s="21">
        <f>((1-'Key_Assumptions_&amp;_Inputs'!$E$59)*(Generation_Rates!N42))*Generation_Rates!N11</f>
        <v>3618.6994526244343</v>
      </c>
      <c r="O74" s="21">
        <f>((1-'Key_Assumptions_&amp;_Inputs'!$E$59)*(Generation_Rates!O42))*Generation_Rates!O11</f>
        <v>3699.8265262167793</v>
      </c>
      <c r="P74" s="21">
        <f>((1-'Key_Assumptions_&amp;_Inputs'!$E$59)*(Generation_Rates!P42))*Generation_Rates!P11</f>
        <v>3782.6675894158921</v>
      </c>
      <c r="Q74" s="21">
        <f>((1-'Key_Assumptions_&amp;_Inputs'!$E$59)*(Generation_Rates!Q42))*Generation_Rates!Q11</f>
        <v>3867.2552417963548</v>
      </c>
      <c r="R74" s="21">
        <f>((1-'Key_Assumptions_&amp;_Inputs'!$E$59)*(Generation_Rates!R42))*Generation_Rates!R11</f>
        <v>3953.6225708293669</v>
      </c>
      <c r="S74" s="21">
        <f>((1-'Key_Assumptions_&amp;_Inputs'!$E$59)*(Generation_Rates!S42))*Generation_Rates!S11</f>
        <v>4041.8031538155433</v>
      </c>
      <c r="T74" s="21">
        <f>((1-'Key_Assumptions_&amp;_Inputs'!$E$59)*(Generation_Rates!T42))*Generation_Rates!T11</f>
        <v>4131.8310595481125</v>
      </c>
      <c r="U74" s="21">
        <f>((1-'Key_Assumptions_&amp;_Inputs'!$E$59)*(Generation_Rates!U42))*Generation_Rates!U11</f>
        <v>4223.740849690018</v>
      </c>
      <c r="V74" s="21">
        <f>((1-'Key_Assumptions_&amp;_Inputs'!$E$59)*(Generation_Rates!V42))*Generation_Rates!V11</f>
        <v>4317.5675798477523</v>
      </c>
      <c r="W74" s="21">
        <f>((1-'Key_Assumptions_&amp;_Inputs'!$E$59)*(Generation_Rates!W42))*Generation_Rates!W11</f>
        <v>4413.3468003239814</v>
      </c>
      <c r="X74" s="21">
        <f>((1-'Key_Assumptions_&amp;_Inputs'!$E$59)*(Generation_Rates!X42))*Generation_Rates!X11</f>
        <v>4511.1145565302795</v>
      </c>
      <c r="Y74" s="21">
        <f>((1-'Key_Assumptions_&amp;_Inputs'!$E$59)*(Generation_Rates!Y42))*Generation_Rates!Y11</f>
        <v>4610.9073890404861</v>
      </c>
      <c r="Z74" s="21">
        <f>((1-'Key_Assumptions_&amp;_Inputs'!$E$59)*(Generation_Rates!Z42))*Generation_Rates!Z11</f>
        <v>4712.7623332643907</v>
      </c>
      <c r="AA74" s="21">
        <f>((1-'Key_Assumptions_&amp;_Inputs'!$E$59)*(Generation_Rates!AA42))*Generation_Rates!AA11</f>
        <v>4816.7169187205973</v>
      </c>
      <c r="AB74" s="21">
        <f>((1-'Key_Assumptions_&amp;_Inputs'!$E$59)*(Generation_Rates!AB42))*Generation_Rates!AB11</f>
        <v>4922.8091678865303</v>
      </c>
      <c r="AC74" s="28">
        <f>((1-'Key_Assumptions_&amp;_Inputs'!$E$59)*(Generation_Rates!AC42))*Generation_Rates!AC11</f>
        <v>5031.0775946026251</v>
      </c>
    </row>
    <row r="75" spans="1:30" s="257" customFormat="1" x14ac:dyDescent="0.25">
      <c r="A75" s="26"/>
      <c r="C75" s="24" t="s">
        <v>47</v>
      </c>
      <c r="D75" s="240">
        <f>(1-'Key_Assumptions_&amp;_Inputs'!$E$59)*Generation_Rates!D43</f>
        <v>62036.399999999994</v>
      </c>
      <c r="E75" s="21">
        <f>((1-'Key_Assumptions_&amp;_Inputs'!$E$59)*(Generation_Rates!E43))*Generation_Rates!E12</f>
        <v>3742.771399704</v>
      </c>
      <c r="F75" s="21">
        <f>((1-'Key_Assumptions_&amp;_Inputs'!$E$59)*(Generation_Rates!F43))*Generation_Rates!F12</f>
        <v>3827.5863423926926</v>
      </c>
      <c r="G75" s="21">
        <f>((1-'Key_Assumptions_&amp;_Inputs'!$E$59)*(Generation_Rates!G43))*Generation_Rates!G12</f>
        <v>3914.224432446329</v>
      </c>
      <c r="H75" s="21">
        <f>((1-'Key_Assumptions_&amp;_Inputs'!$E$59)*(Generation_Rates!H43))*Generation_Rates!H12</f>
        <v>4002.7214884780929</v>
      </c>
      <c r="I75" s="21">
        <f>((1-'Key_Assumptions_&amp;_Inputs'!$E$59)*(Generation_Rates!I43))*Generation_Rates!I12</f>
        <v>4093.1139116148511</v>
      </c>
      <c r="J75" s="21">
        <f>((1-'Key_Assumptions_&amp;_Inputs'!$E$59)*(Generation_Rates!J43))*Generation_Rates!J12</f>
        <v>4185.4386902028573</v>
      </c>
      <c r="K75" s="21">
        <f>((1-'Key_Assumptions_&amp;_Inputs'!$E$59)*(Generation_Rates!K43))*Generation_Rates!K12</f>
        <v>4279.7334043249048</v>
      </c>
      <c r="L75" s="21">
        <f>((1-'Key_Assumptions_&amp;_Inputs'!$E$59)*(Generation_Rates!L43))*Generation_Rates!L12</f>
        <v>4376.0362301148016</v>
      </c>
      <c r="M75" s="21">
        <f>((1-'Key_Assumptions_&amp;_Inputs'!$E$59)*(Generation_Rates!M43))*Generation_Rates!M12</f>
        <v>4474.3859438544187</v>
      </c>
      <c r="N75" s="21">
        <f>((1-'Key_Assumptions_&amp;_Inputs'!$E$59)*(Generation_Rates!N43))*Generation_Rates!N12</f>
        <v>4574.8219258378758</v>
      </c>
      <c r="O75" s="21">
        <f>((1-'Key_Assumptions_&amp;_Inputs'!$E$59)*(Generation_Rates!O43))*Generation_Rates!O12</f>
        <v>4677.3841639867651</v>
      </c>
      <c r="P75" s="21">
        <f>((1-'Key_Assumptions_&amp;_Inputs'!$E$59)*(Generation_Rates!P43))*Generation_Rates!P12</f>
        <v>4782.1132571995695</v>
      </c>
      <c r="Q75" s="21">
        <f>((1-'Key_Assumptions_&amp;_Inputs'!$E$59)*(Generation_Rates!Q43))*Generation_Rates!Q12</f>
        <v>4889.0504184177089</v>
      </c>
      <c r="R75" s="21">
        <f>((1-'Key_Assumptions_&amp;_Inputs'!$E$59)*(Generation_Rates!R43))*Generation_Rates!R12</f>
        <v>4998.2374773898828</v>
      </c>
      <c r="S75" s="21">
        <f>((1-'Key_Assumptions_&amp;_Inputs'!$E$59)*(Generation_Rates!S43))*Generation_Rates!S12</f>
        <v>5109.7168831155395</v>
      </c>
      <c r="T75" s="21">
        <f>((1-'Key_Assumptions_&amp;_Inputs'!$E$59)*(Generation_Rates!T43))*Generation_Rates!T12</f>
        <v>5223.5317059475165</v>
      </c>
      <c r="U75" s="21">
        <f>((1-'Key_Assumptions_&amp;_Inputs'!$E$59)*(Generation_Rates!U43))*Generation_Rates!U12</f>
        <v>5339.7256393330044</v>
      </c>
      <c r="V75" s="21">
        <f>((1-'Key_Assumptions_&amp;_Inputs'!$E$59)*(Generation_Rates!V43))*Generation_Rates!V12</f>
        <v>5458.3430011711016</v>
      </c>
      <c r="W75" s="21">
        <f>((1-'Key_Assumptions_&amp;_Inputs'!$E$59)*(Generation_Rates!W43))*Generation_Rates!W12</f>
        <v>5579.4287347642939</v>
      </c>
      <c r="X75" s="21">
        <f>((1-'Key_Assumptions_&amp;_Inputs'!$E$59)*(Generation_Rates!X43))*Generation_Rates!X12</f>
        <v>5703.0284093402433</v>
      </c>
      <c r="Y75" s="21">
        <f>((1-'Key_Assumptions_&amp;_Inputs'!$E$59)*(Generation_Rates!Y43))*Generation_Rates!Y12</f>
        <v>5829.1882201192402</v>
      </c>
      <c r="Z75" s="21">
        <f>((1-'Key_Assumptions_&amp;_Inputs'!$E$59)*(Generation_Rates!Z43))*Generation_Rates!Z12</f>
        <v>5957.954987901674</v>
      </c>
      <c r="AA75" s="21">
        <f>((1-'Key_Assumptions_&amp;_Inputs'!$E$59)*(Generation_Rates!AA43))*Generation_Rates!AA12</f>
        <v>6089.3761581487743</v>
      </c>
      <c r="AB75" s="21">
        <f>((1-'Key_Assumptions_&amp;_Inputs'!$E$59)*(Generation_Rates!AB43))*Generation_Rates!AB12</f>
        <v>6223.499799528764</v>
      </c>
      <c r="AC75" s="28">
        <f>((1-'Key_Assumptions_&amp;_Inputs'!$E$59)*(Generation_Rates!AC43))*Generation_Rates!AC12</f>
        <v>6360.374601899417</v>
      </c>
    </row>
    <row r="76" spans="1:30" s="257" customFormat="1" x14ac:dyDescent="0.25">
      <c r="A76" s="26"/>
      <c r="C76" s="24" t="s">
        <v>48</v>
      </c>
      <c r="D76" s="240">
        <f>(1-'Key_Assumptions_&amp;_Inputs'!$E$59)*Generation_Rates!D44</f>
        <v>88862.399999999994</v>
      </c>
      <c r="E76" s="21">
        <f>((1-'Key_Assumptions_&amp;_Inputs'!$E$59)*(Generation_Rates!E44))*Generation_Rates!E13</f>
        <v>5361.2338760640005</v>
      </c>
      <c r="F76" s="21">
        <f>((1-'Key_Assumptions_&amp;_Inputs'!$E$59)*(Generation_Rates!F44))*Generation_Rates!F13</f>
        <v>5482.7247969294876</v>
      </c>
      <c r="G76" s="21">
        <f>((1-'Key_Assumptions_&amp;_Inputs'!$E$59)*(Generation_Rates!G44))*Generation_Rates!G13</f>
        <v>5606.8272370063169</v>
      </c>
      <c r="H76" s="21">
        <f>((1-'Key_Assumptions_&amp;_Inputs'!$E$59)*(Generation_Rates!H44))*Generation_Rates!H13</f>
        <v>5733.5925037193601</v>
      </c>
      <c r="I76" s="21">
        <f>((1-'Key_Assumptions_&amp;_Inputs'!$E$59)*(Generation_Rates!I44))*Generation_Rates!I13</f>
        <v>5863.0727388998002</v>
      </c>
      <c r="J76" s="21">
        <f>((1-'Key_Assumptions_&amp;_Inputs'!$E$59)*(Generation_Rates!J44))*Generation_Rates!J13</f>
        <v>5995.3209255256988</v>
      </c>
      <c r="K76" s="21">
        <f>((1-'Key_Assumptions_&amp;_Inputs'!$E$59)*(Generation_Rates!K44))*Generation_Rates!K13</f>
        <v>6130.3908941924656</v>
      </c>
      <c r="L76" s="21">
        <f>((1-'Key_Assumptions_&amp;_Inputs'!$E$59)*(Generation_Rates!L44))*Generation_Rates!L13</f>
        <v>6268.337329293021</v>
      </c>
      <c r="M76" s="21">
        <f>((1-'Key_Assumptions_&amp;_Inputs'!$E$59)*(Generation_Rates!M44))*Generation_Rates!M13</f>
        <v>6409.2157748865002</v>
      </c>
      <c r="N76" s="21">
        <f>((1-'Key_Assumptions_&amp;_Inputs'!$E$59)*(Generation_Rates!N44))*Generation_Rates!N13</f>
        <v>6553.0826402334078</v>
      </c>
      <c r="O76" s="21">
        <f>((1-'Key_Assumptions_&amp;_Inputs'!$E$59)*(Generation_Rates!O44))*Generation_Rates!O13</f>
        <v>6699.9952049741369</v>
      </c>
      <c r="P76" s="21">
        <f>((1-'Key_Assumptions_&amp;_Inputs'!$E$59)*(Generation_Rates!P44))*Generation_Rates!P13</f>
        <v>6850.0116239267745</v>
      </c>
      <c r="Q76" s="21">
        <f>((1-'Key_Assumptions_&amp;_Inputs'!$E$59)*(Generation_Rates!Q44))*Generation_Rates!Q13</f>
        <v>7003.1909314789664</v>
      </c>
      <c r="R76" s="21">
        <f>((1-'Key_Assumptions_&amp;_Inputs'!$E$59)*(Generation_Rates!R44))*Generation_Rates!R13</f>
        <v>7159.5930455476264</v>
      </c>
      <c r="S76" s="21">
        <f>((1-'Key_Assumptions_&amp;_Inputs'!$E$59)*(Generation_Rates!S44))*Generation_Rates!S13</f>
        <v>7319.2787710790162</v>
      </c>
      <c r="T76" s="21">
        <f>((1-'Key_Assumptions_&amp;_Inputs'!$E$59)*(Generation_Rates!T44))*Generation_Rates!T13</f>
        <v>7482.3098030606316</v>
      </c>
      <c r="U76" s="21">
        <f>((1-'Key_Assumptions_&amp;_Inputs'!$E$59)*(Generation_Rates!U44))*Generation_Rates!U13</f>
        <v>7648.7487290149838</v>
      </c>
      <c r="V76" s="21">
        <f>((1-'Key_Assumptions_&amp;_Inputs'!$E$59)*(Generation_Rates!V44))*Generation_Rates!V13</f>
        <v>7818.6590309442017</v>
      </c>
      <c r="W76" s="21">
        <f>((1-'Key_Assumptions_&amp;_Inputs'!$E$59)*(Generation_Rates!W44))*Generation_Rates!W13</f>
        <v>7992.1050866929509</v>
      </c>
      <c r="X76" s="21">
        <f>((1-'Key_Assumptions_&amp;_Inputs'!$E$59)*(Generation_Rates!X44))*Generation_Rates!X13</f>
        <v>8169.1521706958556</v>
      </c>
      <c r="Y76" s="21">
        <f>((1-'Key_Assumptions_&amp;_Inputs'!$E$59)*(Generation_Rates!Y44))*Generation_Rates!Y13</f>
        <v>8349.8664540741229</v>
      </c>
      <c r="Z76" s="21">
        <f>((1-'Key_Assumptions_&amp;_Inputs'!$E$59)*(Generation_Rates!Z44))*Generation_Rates!Z13</f>
        <v>8534.3150040446217</v>
      </c>
      <c r="AA76" s="21">
        <f>((1-'Key_Assumptions_&amp;_Inputs'!$E$59)*(Generation_Rates!AA44))*Generation_Rates!AA13</f>
        <v>8722.5657826031111</v>
      </c>
      <c r="AB76" s="21">
        <f>((1-'Key_Assumptions_&amp;_Inputs'!$E$59)*(Generation_Rates!AB44))*Generation_Rates!AB13</f>
        <v>8914.6876444417285</v>
      </c>
      <c r="AC76" s="28">
        <f>((1-'Key_Assumptions_&amp;_Inputs'!$E$59)*(Generation_Rates!AC44))*Generation_Rates!AC13</f>
        <v>9110.7503340591447</v>
      </c>
    </row>
    <row r="77" spans="1:30" s="257" customFormat="1" x14ac:dyDescent="0.25">
      <c r="A77" s="26"/>
      <c r="C77" s="24" t="s">
        <v>49</v>
      </c>
      <c r="D77" s="240">
        <f>(1-'Key_Assumptions_&amp;_Inputs'!$E$59)*Generation_Rates!D45</f>
        <v>100585.8</v>
      </c>
      <c r="E77" s="21">
        <f>((1-'Key_Assumptions_&amp;_Inputs'!$E$59)*(Generation_Rates!E45))*Generation_Rates!E14</f>
        <v>6068.5284035880013</v>
      </c>
      <c r="F77" s="21">
        <f>((1-'Key_Assumptions_&amp;_Inputs'!$E$59)*(Generation_Rates!F45))*Generation_Rates!F14</f>
        <v>6206.0473257417088</v>
      </c>
      <c r="G77" s="21">
        <f>((1-'Key_Assumptions_&amp;_Inputs'!$E$59)*(Generation_Rates!G45))*Generation_Rates!G14</f>
        <v>6346.5222984757338</v>
      </c>
      <c r="H77" s="21">
        <f>((1-'Key_Assumptions_&amp;_Inputs'!$E$59)*(Generation_Rates!H45))*Generation_Rates!H14</f>
        <v>6490.0113980785445</v>
      </c>
      <c r="I77" s="21">
        <f>((1-'Key_Assumptions_&amp;_Inputs'!$E$59)*(Generation_Rates!I45))*Generation_Rates!I14</f>
        <v>6636.573645326117</v>
      </c>
      <c r="J77" s="21">
        <f>((1-'Key_Assumptions_&amp;_Inputs'!$E$59)*(Generation_Rates!J45))*Generation_Rates!J14</f>
        <v>6786.2690131117633</v>
      </c>
      <c r="K77" s="21">
        <f>((1-'Key_Assumptions_&amp;_Inputs'!$E$59)*(Generation_Rates!K45))*Generation_Rates!K14</f>
        <v>6939.1584337702388</v>
      </c>
      <c r="L77" s="21">
        <f>((1-'Key_Assumptions_&amp;_Inputs'!$E$59)*(Generation_Rates!L45))*Generation_Rates!L14</f>
        <v>7095.3038060732315</v>
      </c>
      <c r="M77" s="21">
        <f>((1-'Key_Assumptions_&amp;_Inputs'!$E$59)*(Generation_Rates!M45))*Generation_Rates!M14</f>
        <v>7254.7680018723177</v>
      </c>
      <c r="N77" s="21">
        <f>((1-'Key_Assumptions_&amp;_Inputs'!$E$59)*(Generation_Rates!N45))*Generation_Rates!N14</f>
        <v>7417.6148723643455</v>
      </c>
      <c r="O77" s="21">
        <f>((1-'Key_Assumptions_&amp;_Inputs'!$E$59)*(Generation_Rates!O45))*Generation_Rates!O14</f>
        <v>7583.9092539531639</v>
      </c>
      <c r="P77" s="21">
        <f>((1-'Key_Assumptions_&amp;_Inputs'!$E$59)*(Generation_Rates!P45))*Generation_Rates!P14</f>
        <v>7753.7169736803617</v>
      </c>
      <c r="Q77" s="21">
        <f>((1-'Key_Assumptions_&amp;_Inputs'!$E$59)*(Generation_Rates!Q45))*Generation_Rates!Q14</f>
        <v>7927.1048541965665</v>
      </c>
      <c r="R77" s="21">
        <f>((1-'Key_Assumptions_&amp;_Inputs'!$E$59)*(Generation_Rates!R45))*Generation_Rates!R14</f>
        <v>8104.140718243536</v>
      </c>
      <c r="S77" s="21">
        <f>((1-'Key_Assumptions_&amp;_Inputs'!$E$59)*(Generation_Rates!S45))*Generation_Rates!S14</f>
        <v>8284.8933926159953</v>
      </c>
      <c r="T77" s="21">
        <f>((1-'Key_Assumptions_&amp;_Inputs'!$E$59)*(Generation_Rates!T45))*Generation_Rates!T14</f>
        <v>8469.4327115708784</v>
      </c>
      <c r="U77" s="21">
        <f>((1-'Key_Assumptions_&amp;_Inputs'!$E$59)*(Generation_Rates!U45))*Generation_Rates!U14</f>
        <v>8657.829519650104</v>
      </c>
      <c r="V77" s="21">
        <f>((1-'Key_Assumptions_&amp;_Inputs'!$E$59)*(Generation_Rates!V45))*Generation_Rates!V14</f>
        <v>8850.1556738817235</v>
      </c>
      <c r="W77" s="21">
        <f>((1-'Key_Assumptions_&amp;_Inputs'!$E$59)*(Generation_Rates!W45))*Generation_Rates!W14</f>
        <v>9046.4840453226534</v>
      </c>
      <c r="X77" s="21">
        <f>((1-'Key_Assumptions_&amp;_Inputs'!$E$59)*(Generation_Rates!X45))*Generation_Rates!X14</f>
        <v>9246.8885199046981</v>
      </c>
      <c r="Y77" s="21">
        <f>((1-'Key_Assumptions_&amp;_Inputs'!$E$59)*(Generation_Rates!Y45))*Generation_Rates!Y14</f>
        <v>9451.4439985439167</v>
      </c>
      <c r="Z77" s="21">
        <f>((1-'Key_Assumptions_&amp;_Inputs'!$E$59)*(Generation_Rates!Z45))*Generation_Rates!Z14</f>
        <v>9660.2263964717531</v>
      </c>
      <c r="AA77" s="21">
        <f>((1-'Key_Assumptions_&amp;_Inputs'!$E$59)*(Generation_Rates!AA45))*Generation_Rates!AA14</f>
        <v>9873.3126417445401</v>
      </c>
      <c r="AB77" s="21">
        <f>((1-'Key_Assumptions_&amp;_Inputs'!$E$59)*(Generation_Rates!AB45))*Generation_Rates!AB14</f>
        <v>10090.780672886245</v>
      </c>
      <c r="AC77" s="28">
        <f>((1-'Key_Assumptions_&amp;_Inputs'!$E$59)*(Generation_Rates!AC45))*Generation_Rates!AC14</f>
        <v>10312.709435617386</v>
      </c>
    </row>
    <row r="78" spans="1:30" s="257" customFormat="1" x14ac:dyDescent="0.25">
      <c r="A78" s="26"/>
      <c r="C78" s="24" t="s">
        <v>50</v>
      </c>
      <c r="D78" s="240">
        <f>(1-'Key_Assumptions_&amp;_Inputs'!$E$59)*Generation_Rates!D46</f>
        <v>133015.19999999998</v>
      </c>
      <c r="E78" s="21">
        <f>((1-'Key_Assumptions_&amp;_Inputs'!$E$59)*(Generation_Rates!E46))*Generation_Rates!E15</f>
        <v>8025.0544242719998</v>
      </c>
      <c r="F78" s="21">
        <f>((1-'Key_Assumptions_&amp;_Inputs'!$E$59)*(Generation_Rates!F46))*Generation_Rates!F15</f>
        <v>8206.91018258043</v>
      </c>
      <c r="G78" s="21">
        <f>((1-'Key_Assumptions_&amp;_Inputs'!$E$59)*(Generation_Rates!G46))*Generation_Rates!G15</f>
        <v>8392.6750379895493</v>
      </c>
      <c r="H78" s="21">
        <f>((1-'Key_Assumptions_&amp;_Inputs'!$E$59)*(Generation_Rates!H46))*Generation_Rates!H15</f>
        <v>8582.4257908939144</v>
      </c>
      <c r="I78" s="21">
        <f>((1-'Key_Assumptions_&amp;_Inputs'!$E$59)*(Generation_Rates!I46))*Generation_Rates!I15</f>
        <v>8776.2404906834017</v>
      </c>
      <c r="J78" s="21">
        <f>((1-'Key_Assumptions_&amp;_Inputs'!$E$59)*(Generation_Rates!J46))*Generation_Rates!J15</f>
        <v>8974.198445832948</v>
      </c>
      <c r="K78" s="21">
        <f>((1-'Key_Assumptions_&amp;_Inputs'!$E$59)*(Generation_Rates!K46))*Generation_Rates!K15</f>
        <v>9176.3802335879918</v>
      </c>
      <c r="L78" s="21">
        <f>((1-'Key_Assumptions_&amp;_Inputs'!$E$59)*(Generation_Rates!L46))*Generation_Rates!L15</f>
        <v>9382.8677092153375</v>
      </c>
      <c r="M78" s="21">
        <f>((1-'Key_Assumptions_&amp;_Inputs'!$E$59)*(Generation_Rates!M46))*Generation_Rates!M15</f>
        <v>9593.7440147878369</v>
      </c>
      <c r="N78" s="21">
        <f>((1-'Key_Assumptions_&amp;_Inputs'!$E$59)*(Generation_Rates!N46))*Generation_Rates!N15</f>
        <v>9809.0935874697807</v>
      </c>
      <c r="O78" s="21">
        <f>((1-'Key_Assumptions_&amp;_Inputs'!$E$59)*(Generation_Rates!O46))*Generation_Rates!O15</f>
        <v>10029.002167268449</v>
      </c>
      <c r="P78" s="21">
        <f>((1-'Key_Assumptions_&amp;_Inputs'!$E$59)*(Generation_Rates!P46))*Generation_Rates!P15</f>
        <v>10253.556804215787</v>
      </c>
      <c r="Q78" s="21">
        <f>((1-'Key_Assumptions_&amp;_Inputs'!$E$59)*(Generation_Rates!Q46))*Generation_Rates!Q15</f>
        <v>10482.845864942439</v>
      </c>
      <c r="R78" s="21">
        <f>((1-'Key_Assumptions_&amp;_Inputs'!$E$59)*(Generation_Rates!R46))*Generation_Rates!R15</f>
        <v>10716.959038604928</v>
      </c>
      <c r="S78" s="21">
        <f>((1-'Key_Assumptions_&amp;_Inputs'!$E$59)*(Generation_Rates!S46))*Generation_Rates!S15</f>
        <v>10955.987342124787</v>
      </c>
      <c r="T78" s="21">
        <f>((1-'Key_Assumptions_&amp;_Inputs'!$E$59)*(Generation_Rates!T46))*Generation_Rates!T15</f>
        <v>11200.023124696952</v>
      </c>
      <c r="U78" s="21">
        <f>((1-'Key_Assumptions_&amp;_Inputs'!$E$59)*(Generation_Rates!U46))*Generation_Rates!U15</f>
        <v>11449.160071522645</v>
      </c>
      <c r="V78" s="21">
        <f>((1-'Key_Assumptions_&amp;_Inputs'!$E$59)*(Generation_Rates!V46))*Generation_Rates!V15</f>
        <v>11703.493206720155</v>
      </c>
      <c r="W78" s="21">
        <f>((1-'Key_Assumptions_&amp;_Inputs'!$E$59)*(Generation_Rates!W46))*Generation_Rates!W15</f>
        <v>11963.118895364971</v>
      </c>
      <c r="X78" s="21">
        <f>((1-'Key_Assumptions_&amp;_Inputs'!$E$59)*(Generation_Rates!X46))*Generation_Rates!X15</f>
        <v>12228.134844608558</v>
      </c>
      <c r="Y78" s="21">
        <f>((1-'Key_Assumptions_&amp;_Inputs'!$E$59)*(Generation_Rates!Y46))*Generation_Rates!Y15</f>
        <v>12498.640103822994</v>
      </c>
      <c r="Z78" s="21">
        <f>((1-'Key_Assumptions_&amp;_Inputs'!$E$59)*(Generation_Rates!Z46))*Generation_Rates!Z15</f>
        <v>12774.735063716442</v>
      </c>
      <c r="AA78" s="21">
        <f>((1-'Key_Assumptions_&amp;_Inputs'!$E$59)*(Generation_Rates!AA46))*Generation_Rates!AA15</f>
        <v>13056.52145436213</v>
      </c>
      <c r="AB78" s="21">
        <f>((1-'Key_Assumptions_&amp;_Inputs'!$E$59)*(Generation_Rates!AB46))*Generation_Rates!AB15</f>
        <v>13344.102342081076</v>
      </c>
      <c r="AC78" s="28">
        <f>((1-'Key_Assumptions_&amp;_Inputs'!$E$59)*(Generation_Rates!AC46))*Generation_Rates!AC15</f>
        <v>13637.582125116403</v>
      </c>
    </row>
    <row r="79" spans="1:30" s="257" customFormat="1" x14ac:dyDescent="0.25">
      <c r="A79" s="26"/>
      <c r="C79" s="24" t="s">
        <v>51</v>
      </c>
      <c r="D79" s="240">
        <f>(1-'Key_Assumptions_&amp;_Inputs'!$E$59)*Generation_Rates!D47</f>
        <v>131602.19999999998</v>
      </c>
      <c r="E79" s="21">
        <f>((1-'Key_Assumptions_&amp;_Inputs'!$E$59)*(Generation_Rates!E47))*Generation_Rates!E16</f>
        <v>7939.8055060919996</v>
      </c>
      <c r="F79" s="21">
        <f>((1-'Key_Assumptions_&amp;_Inputs'!$E$59)*(Generation_Rates!F47))*Generation_Rates!F16</f>
        <v>8119.7294386655522</v>
      </c>
      <c r="G79" s="21">
        <f>((1-'Key_Assumptions_&amp;_Inputs'!$E$59)*(Generation_Rates!G47))*Generation_Rates!G16</f>
        <v>8303.520942602865</v>
      </c>
      <c r="H79" s="21">
        <f>((1-'Key_Assumptions_&amp;_Inputs'!$E$59)*(Generation_Rates!H47))*Generation_Rates!H16</f>
        <v>8491.2560024597133</v>
      </c>
      <c r="I79" s="21">
        <f>((1-'Key_Assumptions_&amp;_Inputs'!$E$59)*(Generation_Rates!I47))*Generation_Rates!I16</f>
        <v>8683.0118385193218</v>
      </c>
      <c r="J79" s="21">
        <f>((1-'Key_Assumptions_&amp;_Inputs'!$E$59)*(Generation_Rates!J47))*Generation_Rates!J16</f>
        <v>8878.8669167749013</v>
      </c>
      <c r="K79" s="21">
        <f>((1-'Key_Assumptions_&amp;_Inputs'!$E$59)*(Generation_Rates!K47))*Generation_Rates!K16</f>
        <v>9078.900958512213</v>
      </c>
      <c r="L79" s="21">
        <f>((1-'Key_Assumptions_&amp;_Inputs'!$E$59)*(Generation_Rates!L47))*Generation_Rates!L16</f>
        <v>9283.1949494621567</v>
      </c>
      <c r="M79" s="21">
        <f>((1-'Key_Assumptions_&amp;_Inputs'!$E$59)*(Generation_Rates!M47))*Generation_Rates!M16</f>
        <v>9491.8311484921433</v>
      </c>
      <c r="N79" s="21">
        <f>((1-'Key_Assumptions_&amp;_Inputs'!$E$59)*(Generation_Rates!N47))*Generation_Rates!N16</f>
        <v>9704.8930958034543</v>
      </c>
      <c r="O79" s="21">
        <f>((1-'Key_Assumptions_&amp;_Inputs'!$E$59)*(Generation_Rates!O47))*Generation_Rates!O16</f>
        <v>9922.4656206004729</v>
      </c>
      <c r="P79" s="21">
        <f>((1-'Key_Assumptions_&amp;_Inputs'!$E$59)*(Generation_Rates!P47))*Generation_Rates!P16</f>
        <v>10144.634848196045</v>
      </c>
      <c r="Q79" s="21">
        <f>((1-'Key_Assumptions_&amp;_Inputs'!$E$59)*(Generation_Rates!Q47))*Generation_Rates!Q16</f>
        <v>10371.488206515707</v>
      </c>
      <c r="R79" s="21">
        <f>((1-'Key_Assumptions_&amp;_Inputs'!$E$59)*(Generation_Rates!R47))*Generation_Rates!R16</f>
        <v>10603.114431961862</v>
      </c>
      <c r="S79" s="21">
        <f>((1-'Key_Assumptions_&amp;_Inputs'!$E$59)*(Generation_Rates!S47))*Generation_Rates!S16</f>
        <v>10839.603574597295</v>
      </c>
      <c r="T79" s="21">
        <f>((1-'Key_Assumptions_&amp;_Inputs'!$E$59)*(Generation_Rates!T47))*Generation_Rates!T16</f>
        <v>11081.047002605668</v>
      </c>
      <c r="U79" s="21">
        <f>((1-'Key_Assumptions_&amp;_Inputs'!$E$59)*(Generation_Rates!U47))*Generation_Rates!U16</f>
        <v>11327.537405984711</v>
      </c>
      <c r="V79" s="21">
        <f>((1-'Key_Assumptions_&amp;_Inputs'!$E$59)*(Generation_Rates!V47))*Generation_Rates!V16</f>
        <v>11579.168799426136</v>
      </c>
      <c r="W79" s="21">
        <f>((1-'Key_Assumptions_&amp;_Inputs'!$E$59)*(Generation_Rates!W47))*Generation_Rates!W16</f>
        <v>11836.036524334062</v>
      </c>
      <c r="X79" s="21">
        <f>((1-'Key_Assumptions_&amp;_Inputs'!$E$59)*(Generation_Rates!X47))*Generation_Rates!X16</f>
        <v>12098.237249931921</v>
      </c>
      <c r="Y79" s="21">
        <f>((1-'Key_Assumptions_&amp;_Inputs'!$E$59)*(Generation_Rates!Y47))*Generation_Rates!Y16</f>
        <v>12365.868973405553</v>
      </c>
      <c r="Z79" s="21">
        <f>((1-'Key_Assumptions_&amp;_Inputs'!$E$59)*(Generation_Rates!Z47))*Generation_Rates!Z16</f>
        <v>12639.031019028082</v>
      </c>
      <c r="AA79" s="21">
        <f>((1-'Key_Assumptions_&amp;_Inputs'!$E$59)*(Generation_Rates!AA47))*Generation_Rates!AA16</f>
        <v>12917.824036209817</v>
      </c>
      <c r="AB79" s="21">
        <f>((1-'Key_Assumptions_&amp;_Inputs'!$E$59)*(Generation_Rates!AB47))*Generation_Rates!AB16</f>
        <v>13202.34999641411</v>
      </c>
      <c r="AC79" s="28">
        <f>((1-'Key_Assumptions_&amp;_Inputs'!$E$59)*(Generation_Rates!AC47))*Generation_Rates!AC16</f>
        <v>13492.712188877618</v>
      </c>
    </row>
    <row r="80" spans="1:30" s="257" customFormat="1" x14ac:dyDescent="0.25">
      <c r="A80" s="26"/>
      <c r="C80" s="24" t="s">
        <v>52</v>
      </c>
      <c r="D80" s="240">
        <f>(1-'Key_Assumptions_&amp;_Inputs'!$E$59)*Generation_Rates!D48</f>
        <v>132628.19999999998</v>
      </c>
      <c r="E80" s="21">
        <f>((1-'Key_Assumptions_&amp;_Inputs'!$E$59)*(Generation_Rates!E48))*Generation_Rates!E17</f>
        <v>8001.7059944519997</v>
      </c>
      <c r="F80" s="21">
        <f>((1-'Key_Assumptions_&amp;_Inputs'!$E$59)*(Generation_Rates!F48))*Generation_Rates!F17</f>
        <v>8183.0326539922771</v>
      </c>
      <c r="G80" s="21">
        <f>((1-'Key_Assumptions_&amp;_Inputs'!$E$59)*(Generation_Rates!G48))*Generation_Rates!G17</f>
        <v>8368.2570373422423</v>
      </c>
      <c r="H80" s="21">
        <f>((1-'Key_Assumptions_&amp;_Inputs'!$E$59)*(Generation_Rates!H48))*Generation_Rates!H17</f>
        <v>8557.4557214501529</v>
      </c>
      <c r="I80" s="21">
        <f>((1-'Key_Assumptions_&amp;_Inputs'!$E$59)*(Generation_Rates!I48))*Generation_Rates!I17</f>
        <v>8750.7065286257239</v>
      </c>
      <c r="J80" s="21">
        <f>((1-'Key_Assumptions_&amp;_Inputs'!$E$59)*(Generation_Rates!J48))*Generation_Rates!J17</f>
        <v>8948.0885366004895</v>
      </c>
      <c r="K80" s="21">
        <f>((1-'Key_Assumptions_&amp;_Inputs'!$E$59)*(Generation_Rates!K48))*Generation_Rates!K17</f>
        <v>9149.6820881850708</v>
      </c>
      <c r="L80" s="21">
        <f>((1-'Key_Assumptions_&amp;_Inputs'!$E$59)*(Generation_Rates!L48))*Generation_Rates!L17</f>
        <v>9355.5688004931289</v>
      </c>
      <c r="M80" s="21">
        <f>((1-'Key_Assumptions_&amp;_Inputs'!$E$59)*(Generation_Rates!M48))*Generation_Rates!M17</f>
        <v>9565.8315737004814</v>
      </c>
      <c r="N80" s="21">
        <f>((1-'Key_Assumptions_&amp;_Inputs'!$E$59)*(Generation_Rates!N48))*Generation_Rates!N17</f>
        <v>9780.5545993063915</v>
      </c>
      <c r="O80" s="21">
        <f>((1-'Key_Assumptions_&amp;_Inputs'!$E$59)*(Generation_Rates!O48))*Generation_Rates!O17</f>
        <v>9999.8233678625711</v>
      </c>
      <c r="P80" s="21">
        <f>((1-'Key_Assumptions_&amp;_Inputs'!$E$59)*(Generation_Rates!P48))*Generation_Rates!P17</f>
        <v>10223.724676133945</v>
      </c>
      <c r="Q80" s="21">
        <f>((1-'Key_Assumptions_&amp;_Inputs'!$E$59)*(Generation_Rates!Q48))*Generation_Rates!Q17</f>
        <v>10452.346633653589</v>
      </c>
      <c r="R80" s="21">
        <f>((1-'Key_Assumptions_&amp;_Inputs'!$E$59)*(Generation_Rates!R48))*Generation_Rates!R17</f>
        <v>10685.778668632622</v>
      </c>
      <c r="S80" s="21">
        <f>((1-'Key_Assumptions_&amp;_Inputs'!$E$59)*(Generation_Rates!S48))*Generation_Rates!S17</f>
        <v>10924.111533184136</v>
      </c>
      <c r="T80" s="21">
        <f>((1-'Key_Assumptions_&amp;_Inputs'!$E$59)*(Generation_Rates!T48))*Generation_Rates!T17</f>
        <v>11167.437307818447</v>
      </c>
      <c r="U80" s="21">
        <f>((1-'Key_Assumptions_&amp;_Inputs'!$E$59)*(Generation_Rates!U48))*Generation_Rates!U17</f>
        <v>11415.849405165121</v>
      </c>
      <c r="V80" s="21">
        <f>((1-'Key_Assumptions_&amp;_Inputs'!$E$59)*(Generation_Rates!V48))*Generation_Rates!V17</f>
        <v>11669.442572875296</v>
      </c>
      <c r="W80" s="21">
        <f>((1-'Key_Assumptions_&amp;_Inputs'!$E$59)*(Generation_Rates!W48))*Generation_Rates!W17</f>
        <v>11928.31289565587</v>
      </c>
      <c r="X80" s="21">
        <f>((1-'Key_Assumptions_&amp;_Inputs'!$E$59)*(Generation_Rates!X48))*Generation_Rates!X17</f>
        <v>12192.557796385019</v>
      </c>
      <c r="Y80" s="21">
        <f>((1-'Key_Assumptions_&amp;_Inputs'!$E$59)*(Generation_Rates!Y48))*Generation_Rates!Y17</f>
        <v>12462.276036256433</v>
      </c>
      <c r="Z80" s="21">
        <f>((1-'Key_Assumptions_&amp;_Inputs'!$E$59)*(Generation_Rates!Z48))*Generation_Rates!Z17</f>
        <v>12737.567713897337</v>
      </c>
      <c r="AA80" s="21">
        <f>((1-'Key_Assumptions_&amp;_Inputs'!$E$59)*(Generation_Rates!AA48))*Generation_Rates!AA17</f>
        <v>13018.534263403217</v>
      </c>
      <c r="AB80" s="21">
        <f>((1-'Key_Assumptions_&amp;_Inputs'!$E$59)*(Generation_Rates!AB48))*Generation_Rates!AB17</f>
        <v>13305.278451229613</v>
      </c>
      <c r="AC80" s="28">
        <f>((1-'Key_Assumptions_&amp;_Inputs'!$E$59)*(Generation_Rates!AC48))*Generation_Rates!AC17</f>
        <v>13597.904371879031</v>
      </c>
    </row>
    <row r="81" spans="1:30" s="257" customFormat="1" x14ac:dyDescent="0.25">
      <c r="A81" s="26"/>
      <c r="C81" s="24" t="s">
        <v>53</v>
      </c>
      <c r="D81" s="240">
        <f>(1-'Key_Assumptions_&amp;_Inputs'!$E$59)*Generation_Rates!D49</f>
        <v>114909</v>
      </c>
      <c r="E81" s="21">
        <f>((1-'Key_Assumptions_&amp;_Inputs'!$E$59)*(Generation_Rates!E49))*Generation_Rates!E18</f>
        <v>6932.6737007400006</v>
      </c>
      <c r="F81" s="21">
        <f>((1-'Key_Assumptions_&amp;_Inputs'!$E$59)*(Generation_Rates!F49))*Generation_Rates!F18</f>
        <v>7089.7750194724695</v>
      </c>
      <c r="G81" s="21">
        <f>((1-'Key_Assumptions_&amp;_Inputs'!$E$59)*(Generation_Rates!G49))*Generation_Rates!G18</f>
        <v>7250.2533239835848</v>
      </c>
      <c r="H81" s="21">
        <f>((1-'Key_Assumptions_&amp;_Inputs'!$E$59)*(Generation_Rates!H49))*Generation_Rates!H18</f>
        <v>7414.1749604994684</v>
      </c>
      <c r="I81" s="21">
        <f>((1-'Key_Assumptions_&amp;_Inputs'!$E$59)*(Generation_Rates!I49))*Generation_Rates!I18</f>
        <v>7581.6073542267277</v>
      </c>
      <c r="J81" s="21">
        <f>((1-'Key_Assumptions_&amp;_Inputs'!$E$59)*(Generation_Rates!J49))*Generation_Rates!J18</f>
        <v>7752.6190180687499</v>
      </c>
      <c r="K81" s="21">
        <f>((1-'Key_Assumptions_&amp;_Inputs'!$E$59)*(Generation_Rates!K49))*Generation_Rates!K18</f>
        <v>7927.279560992748</v>
      </c>
      <c r="L81" s="21">
        <f>((1-'Key_Assumptions_&amp;_Inputs'!$E$59)*(Generation_Rates!L49))*Generation_Rates!L18</f>
        <v>8105.6596960213974</v>
      </c>
      <c r="M81" s="21">
        <f>((1-'Key_Assumptions_&amp;_Inputs'!$E$59)*(Generation_Rates!M49))*Generation_Rates!M18</f>
        <v>8287.8312478217213</v>
      </c>
      <c r="N81" s="21">
        <f>((1-'Key_Assumptions_&amp;_Inputs'!$E$59)*(Generation_Rates!N49))*Generation_Rates!N18</f>
        <v>8473.8671598626697</v>
      </c>
      <c r="O81" s="21">
        <f>((1-'Key_Assumptions_&amp;_Inputs'!$E$59)*(Generation_Rates!O49))*Generation_Rates!O18</f>
        <v>8663.8415011115303</v>
      </c>
      <c r="P81" s="21">
        <f>((1-'Key_Assumptions_&amp;_Inputs'!$E$59)*(Generation_Rates!P49))*Generation_Rates!P18</f>
        <v>8857.829472237996</v>
      </c>
      <c r="Q81" s="21">
        <f>((1-'Key_Assumptions_&amp;_Inputs'!$E$59)*(Generation_Rates!Q49))*Generation_Rates!Q18</f>
        <v>9055.9074112933758</v>
      </c>
      <c r="R81" s="21">
        <f>((1-'Key_Assumptions_&amp;_Inputs'!$E$59)*(Generation_Rates!R49))*Generation_Rates!R18</f>
        <v>9258.1527988309135</v>
      </c>
      <c r="S81" s="21">
        <f>((1-'Key_Assumptions_&amp;_Inputs'!$E$59)*(Generation_Rates!S49))*Generation_Rates!S18</f>
        <v>9464.6442624317879</v>
      </c>
      <c r="T81" s="21">
        <f>((1-'Key_Assumptions_&amp;_Inputs'!$E$59)*(Generation_Rates!T49))*Generation_Rates!T18</f>
        <v>9675.4615805998274</v>
      </c>
      <c r="U81" s="21">
        <f>((1-'Key_Assumptions_&amp;_Inputs'!$E$59)*(Generation_Rates!U49))*Generation_Rates!U18</f>
        <v>9890.6856859862328</v>
      </c>
      <c r="V81" s="21">
        <f>((1-'Key_Assumptions_&amp;_Inputs'!$E$59)*(Generation_Rates!V49))*Generation_Rates!V18</f>
        <v>10110.398667904166</v>
      </c>
      <c r="W81" s="21">
        <f>((1-'Key_Assumptions_&amp;_Inputs'!$E$59)*(Generation_Rates!W49))*Generation_Rates!W18</f>
        <v>10334.683774091181</v>
      </c>
      <c r="X81" s="21">
        <f>((1-'Key_Assumptions_&amp;_Inputs'!$E$59)*(Generation_Rates!X49))*Generation_Rates!X18</f>
        <v>10563.625411675694</v>
      </c>
      <c r="Y81" s="21">
        <f>((1-'Key_Assumptions_&amp;_Inputs'!$E$59)*(Generation_Rates!Y49))*Generation_Rates!Y18</f>
        <v>10797.309147301934</v>
      </c>
      <c r="Z81" s="21">
        <f>((1-'Key_Assumptions_&amp;_Inputs'!$E$59)*(Generation_Rates!Z49))*Generation_Rates!Z18</f>
        <v>11035.821706365836</v>
      </c>
      <c r="AA81" s="21">
        <f>((1-'Key_Assumptions_&amp;_Inputs'!$E$59)*(Generation_Rates!AA49))*Generation_Rates!AA18</f>
        <v>11279.250971312285</v>
      </c>
      <c r="AB81" s="21">
        <f>((1-'Key_Assumptions_&amp;_Inputs'!$E$59)*(Generation_Rates!AB49))*Generation_Rates!AB18</f>
        <v>11527.685978942212</v>
      </c>
      <c r="AC81" s="28">
        <f>((1-'Key_Assumptions_&amp;_Inputs'!$E$59)*(Generation_Rates!AC49))*Generation_Rates!AC18</f>
        <v>11781.216916675696</v>
      </c>
    </row>
    <row r="82" spans="1:30" s="257" customFormat="1" x14ac:dyDescent="0.25">
      <c r="A82" s="26"/>
      <c r="C82" s="24" t="s">
        <v>54</v>
      </c>
      <c r="D82" s="240">
        <f>(1-'Key_Assumptions_&amp;_Inputs'!$E$59)*Generation_Rates!D50</f>
        <v>96277.8</v>
      </c>
      <c r="E82" s="21">
        <f>((1-'Key_Assumptions_&amp;_Inputs'!$E$59)*(Generation_Rates!E50))*Generation_Rates!E19</f>
        <v>5808.6187507080012</v>
      </c>
      <c r="F82" s="21">
        <f>((1-'Key_Assumptions_&amp;_Inputs'!$E$59)*(Generation_Rates!F50))*Generation_Rates!F19</f>
        <v>5940.2478602177944</v>
      </c>
      <c r="G82" s="21">
        <f>((1-'Key_Assumptions_&amp;_Inputs'!$E$59)*(Generation_Rates!G50))*Generation_Rates!G19</f>
        <v>6074.706415301036</v>
      </c>
      <c r="H82" s="21">
        <f>((1-'Key_Assumptions_&amp;_Inputs'!$E$59)*(Generation_Rates!H50))*Generation_Rates!H19</f>
        <v>6212.0500048906151</v>
      </c>
      <c r="I82" s="21">
        <f>((1-'Key_Assumptions_&amp;_Inputs'!$E$59)*(Generation_Rates!I50))*Generation_Rates!I19</f>
        <v>6352.3351219553733</v>
      </c>
      <c r="J82" s="21">
        <f>((1-'Key_Assumptions_&amp;_Inputs'!$E$59)*(Generation_Rates!J50))*Generation_Rates!J19</f>
        <v>6495.6191708031529</v>
      </c>
      <c r="K82" s="21">
        <f>((1-'Key_Assumptions_&amp;_Inputs'!$E$59)*(Generation_Rates!K50))*Generation_Rates!K19</f>
        <v>6641.9604740912155</v>
      </c>
      <c r="L82" s="21">
        <f>((1-'Key_Assumptions_&amp;_Inputs'!$E$59)*(Generation_Rates!L50))*Generation_Rates!L19</f>
        <v>6791.4182795221332</v>
      </c>
      <c r="M82" s="21">
        <f>((1-'Key_Assumptions_&amp;_Inputs'!$E$59)*(Generation_Rates!M50))*Generation_Rates!M19</f>
        <v>6944.0527662022123</v>
      </c>
      <c r="N82" s="21">
        <f>((1-'Key_Assumptions_&amp;_Inputs'!$E$59)*(Generation_Rates!N50))*Generation_Rates!N19</f>
        <v>7099.9250506385579</v>
      </c>
      <c r="O82" s="21">
        <f>((1-'Key_Assumptions_&amp;_Inputs'!$E$59)*(Generation_Rates!O50))*Generation_Rates!O19</f>
        <v>7259.0971923497355</v>
      </c>
      <c r="P82" s="21">
        <f>((1-'Key_Assumptions_&amp;_Inputs'!$E$59)*(Generation_Rates!P50))*Generation_Rates!P19</f>
        <v>7421.6321990639153</v>
      </c>
      <c r="Q82" s="21">
        <f>((1-'Key_Assumptions_&amp;_Inputs'!$E$59)*(Generation_Rates!Q50))*Generation_Rates!Q19</f>
        <v>7587.5940314772688</v>
      </c>
      <c r="R82" s="21">
        <f>((1-'Key_Assumptions_&amp;_Inputs'!$E$59)*(Generation_Rates!R50))*Generation_Rates!R19</f>
        <v>7757.0476075440811</v>
      </c>
      <c r="S82" s="21">
        <f>((1-'Key_Assumptions_&amp;_Inputs'!$E$59)*(Generation_Rates!S50))*Generation_Rates!S19</f>
        <v>7930.0588062689203</v>
      </c>
      <c r="T82" s="21">
        <f>((1-'Key_Assumptions_&amp;_Inputs'!$E$59)*(Generation_Rates!T50))*Generation_Rates!T19</f>
        <v>8106.6944709698464</v>
      </c>
      <c r="U82" s="21">
        <f>((1-'Key_Assumptions_&amp;_Inputs'!$E$59)*(Generation_Rates!U50))*Generation_Rates!U19</f>
        <v>8287.0224119803079</v>
      </c>
      <c r="V82" s="21">
        <f>((1-'Key_Assumptions_&amp;_Inputs'!$E$59)*(Generation_Rates!V50))*Generation_Rates!V19</f>
        <v>8471.1114087560054</v>
      </c>
      <c r="W82" s="21">
        <f>((1-'Key_Assumptions_&amp;_Inputs'!$E$59)*(Generation_Rates!W50))*Generation_Rates!W19</f>
        <v>8659.0312113515574</v>
      </c>
      <c r="X82" s="21">
        <f>((1-'Key_Assumptions_&amp;_Inputs'!$E$59)*(Generation_Rates!X50))*Generation_Rates!X19</f>
        <v>8850.8525412302788</v>
      </c>
      <c r="Y82" s="21">
        <f>((1-'Key_Assumptions_&amp;_Inputs'!$E$59)*(Generation_Rates!Y50))*Generation_Rates!Y19</f>
        <v>9046.6470913688772</v>
      </c>
      <c r="Z82" s="21">
        <f>((1-'Key_Assumptions_&amp;_Inputs'!$E$59)*(Generation_Rates!Z50))*Generation_Rates!Z19</f>
        <v>9246.4875256172163</v>
      </c>
      <c r="AA82" s="21">
        <f>((1-'Key_Assumptions_&amp;_Inputs'!$E$59)*(Generation_Rates!AA50))*Generation_Rates!AA19</f>
        <v>9450.4474772716676</v>
      </c>
      <c r="AB82" s="21">
        <f>((1-'Key_Assumptions_&amp;_Inputs'!$E$59)*(Generation_Rates!AB50))*Generation_Rates!AB19</f>
        <v>9658.6015468188107</v>
      </c>
      <c r="AC82" s="28">
        <f>((1-'Key_Assumptions_&amp;_Inputs'!$E$59)*(Generation_Rates!AC50))*Generation_Rates!AC19</f>
        <v>9871.0252988044376</v>
      </c>
    </row>
    <row r="83" spans="1:30" s="257" customFormat="1" x14ac:dyDescent="0.25">
      <c r="A83" s="26"/>
      <c r="C83" s="24" t="s">
        <v>55</v>
      </c>
      <c r="D83" s="240">
        <f>(1-'Key_Assumptions_&amp;_Inputs'!$E$59)*Generation_Rates!D51</f>
        <v>76427.399999999994</v>
      </c>
      <c r="E83" s="21">
        <f>((1-'Key_Assumptions_&amp;_Inputs'!$E$59)*(Generation_Rates!E51))*Generation_Rates!E20</f>
        <v>4611.0071969640003</v>
      </c>
      <c r="F83" s="21">
        <f>((1-'Key_Assumptions_&amp;_Inputs'!$E$59)*(Generation_Rates!F51))*Generation_Rates!F20</f>
        <v>4715.4972310544017</v>
      </c>
      <c r="G83" s="21">
        <f>((1-'Key_Assumptions_&amp;_Inputs'!$E$59)*(Generation_Rates!G51))*Generation_Rates!G20</f>
        <v>4822.2333402381273</v>
      </c>
      <c r="H83" s="21">
        <f>((1-'Key_Assumptions_&amp;_Inputs'!$E$59)*(Generation_Rates!H51))*Generation_Rates!H20</f>
        <v>4931.2596522124213</v>
      </c>
      <c r="I83" s="21">
        <f>((1-'Key_Assumptions_&amp;_Inputs'!$E$59)*(Generation_Rates!I51))*Generation_Rates!I20</f>
        <v>5042.6210123178153</v>
      </c>
      <c r="J83" s="21">
        <f>((1-'Key_Assumptions_&amp;_Inputs'!$E$59)*(Generation_Rates!J51))*Generation_Rates!J20</f>
        <v>5156.3629893354528</v>
      </c>
      <c r="K83" s="21">
        <f>((1-'Key_Assumptions_&amp;_Inputs'!$E$59)*(Generation_Rates!K51))*Generation_Rates!K20</f>
        <v>5272.5318810521121</v>
      </c>
      <c r="L83" s="21">
        <f>((1-'Key_Assumptions_&amp;_Inputs'!$E$59)*(Generation_Rates!L51))*Generation_Rates!L20</f>
        <v>5391.1747195755397</v>
      </c>
      <c r="M83" s="21">
        <f>((1-'Key_Assumptions_&amp;_Inputs'!$E$59)*(Generation_Rates!M51))*Generation_Rates!M20</f>
        <v>5512.3392763819174</v>
      </c>
      <c r="N83" s="21">
        <f>((1-'Key_Assumptions_&amp;_Inputs'!$E$59)*(Generation_Rates!N51))*Generation_Rates!N20</f>
        <v>5636.0740670764535</v>
      </c>
      <c r="O83" s="21">
        <f>((1-'Key_Assumptions_&amp;_Inputs'!$E$59)*(Generation_Rates!O51))*Generation_Rates!O20</f>
        <v>5762.4283558472462</v>
      </c>
      <c r="P83" s="21">
        <f>((1-'Key_Assumptions_&amp;_Inputs'!$E$59)*(Generation_Rates!P51))*Generation_Rates!P20</f>
        <v>5891.4521595916967</v>
      </c>
      <c r="Q83" s="21">
        <f>((1-'Key_Assumptions_&amp;_Inputs'!$E$59)*(Generation_Rates!Q51))*Generation_Rates!Q20</f>
        <v>6023.1962516938047</v>
      </c>
      <c r="R83" s="21">
        <f>((1-'Key_Assumptions_&amp;_Inputs'!$E$59)*(Generation_Rates!R51))*Generation_Rates!R20</f>
        <v>6157.7121654297725</v>
      </c>
      <c r="S83" s="21">
        <f>((1-'Key_Assumptions_&amp;_Inputs'!$E$59)*(Generation_Rates!S51))*Generation_Rates!S20</f>
        <v>6295.0521969782985</v>
      </c>
      <c r="T83" s="21">
        <f>((1-'Key_Assumptions_&amp;_Inputs'!$E$59)*(Generation_Rates!T51))*Generation_Rates!T20</f>
        <v>6435.2694080109941</v>
      </c>
      <c r="U83" s="21">
        <f>((1-'Key_Assumptions_&amp;_Inputs'!$E$59)*(Generation_Rates!U51))*Generation_Rates!U20</f>
        <v>6578.4176278371933</v>
      </c>
      <c r="V83" s="21">
        <f>((1-'Key_Assumptions_&amp;_Inputs'!$E$59)*(Generation_Rates!V51))*Generation_Rates!V20</f>
        <v>6724.5514550764419</v>
      </c>
      <c r="W83" s="21">
        <f>((1-'Key_Assumptions_&amp;_Inputs'!$E$59)*(Generation_Rates!W51))*Generation_Rates!W20</f>
        <v>6873.7262588306958</v>
      </c>
      <c r="X83" s="21">
        <f>((1-'Key_Assumptions_&amp;_Inputs'!$E$59)*(Generation_Rates!X51))*Generation_Rates!X20</f>
        <v>7025.9981793271454</v>
      </c>
      <c r="Y83" s="21">
        <f>((1-'Key_Assumptions_&amp;_Inputs'!$E$59)*(Generation_Rates!Y51))*Generation_Rates!Y20</f>
        <v>7181.4241280013221</v>
      </c>
      <c r="Z83" s="21">
        <f>((1-'Key_Assumptions_&amp;_Inputs'!$E$59)*(Generation_Rates!Z51))*Generation_Rates!Z20</f>
        <v>7340.0617869888711</v>
      </c>
      <c r="AA83" s="21">
        <f>((1-'Key_Assumptions_&amp;_Inputs'!$E$59)*(Generation_Rates!AA51))*Generation_Rates!AA20</f>
        <v>7501.9696079930436</v>
      </c>
      <c r="AB83" s="21">
        <f>((1-'Key_Assumptions_&amp;_Inputs'!$E$59)*(Generation_Rates!AB51))*Generation_Rates!AB20</f>
        <v>7667.2068104935906</v>
      </c>
      <c r="AC83" s="28">
        <f>((1-'Key_Assumptions_&amp;_Inputs'!$E$59)*(Generation_Rates!AC51))*Generation_Rates!AC20</f>
        <v>7835.8333792613275</v>
      </c>
    </row>
    <row r="84" spans="1:30" s="257" customFormat="1" x14ac:dyDescent="0.25">
      <c r="A84" s="26"/>
      <c r="C84" s="24" t="s">
        <v>56</v>
      </c>
      <c r="D84" s="240">
        <f>(1-'Key_Assumptions_&amp;_Inputs'!$E$59)*Generation_Rates!D52</f>
        <v>46570.799999999996</v>
      </c>
      <c r="E84" s="21">
        <f>((1-'Key_Assumptions_&amp;_Inputs'!$E$59)*(Generation_Rates!E52))*Generation_Rates!E21</f>
        <v>2809.7029856879999</v>
      </c>
      <c r="F84" s="21">
        <f>((1-'Key_Assumptions_&amp;_Inputs'!$E$59)*(Generation_Rates!F52))*Generation_Rates!F21</f>
        <v>2873.3736650466767</v>
      </c>
      <c r="G84" s="21">
        <f>((1-'Key_Assumptions_&amp;_Inputs'!$E$59)*(Generation_Rates!G52))*Generation_Rates!G21</f>
        <v>2938.412983322235</v>
      </c>
      <c r="H84" s="21">
        <f>((1-'Key_Assumptions_&amp;_Inputs'!$E$59)*(Generation_Rates!H52))*Generation_Rates!H21</f>
        <v>3004.8478295906207</v>
      </c>
      <c r="I84" s="21">
        <f>((1-'Key_Assumptions_&amp;_Inputs'!$E$59)*(Generation_Rates!I52))*Generation_Rates!I21</f>
        <v>3072.7055302214981</v>
      </c>
      <c r="J84" s="21">
        <f>((1-'Key_Assumptions_&amp;_Inputs'!$E$59)*(Generation_Rates!J52))*Generation_Rates!J21</f>
        <v>3142.0138524108306</v>
      </c>
      <c r="K84" s="21">
        <f>((1-'Key_Assumptions_&amp;_Inputs'!$E$59)*(Generation_Rates!K52))*Generation_Rates!K21</f>
        <v>3212.8010075719135</v>
      </c>
      <c r="L84" s="21">
        <f>((1-'Key_Assumptions_&amp;_Inputs'!$E$59)*(Generation_Rates!L52))*Generation_Rates!L21</f>
        <v>3285.0956545742565</v>
      </c>
      <c r="M84" s="21">
        <f>((1-'Key_Assumptions_&amp;_Inputs'!$E$59)*(Generation_Rates!M52))*Generation_Rates!M21</f>
        <v>3358.926902819238</v>
      </c>
      <c r="N84" s="21">
        <f>((1-'Key_Assumptions_&amp;_Inputs'!$E$59)*(Generation_Rates!N52))*Generation_Rates!N21</f>
        <v>3434.3243151409592</v>
      </c>
      <c r="O84" s="21">
        <f>((1-'Key_Assumptions_&amp;_Inputs'!$E$59)*(Generation_Rates!O52))*Generation_Rates!O21</f>
        <v>3511.3179105201925</v>
      </c>
      <c r="P84" s="21">
        <f>((1-'Key_Assumptions_&amp;_Inputs'!$E$59)*(Generation_Rates!P52))*Generation_Rates!P21</f>
        <v>3589.938166598798</v>
      </c>
      <c r="Q84" s="21">
        <f>((1-'Key_Assumptions_&amp;_Inputs'!$E$59)*(Generation_Rates!Q52))*Generation_Rates!Q21</f>
        <v>3670.2160219814077</v>
      </c>
      <c r="R84" s="21">
        <f>((1-'Key_Assumptions_&amp;_Inputs'!$E$59)*(Generation_Rates!R52))*Generation_Rates!R21</f>
        <v>3752.1828783106162</v>
      </c>
      <c r="S84" s="21">
        <f>((1-'Key_Assumptions_&amp;_Inputs'!$E$59)*(Generation_Rates!S52))*Generation_Rates!S21</f>
        <v>3835.8706021013004</v>
      </c>
      <c r="T84" s="21">
        <f>((1-'Key_Assumptions_&amp;_Inputs'!$E$59)*(Generation_Rates!T52))*Generation_Rates!T21</f>
        <v>3921.3115263190743</v>
      </c>
      <c r="U84" s="21">
        <f>((1-'Key_Assumptions_&amp;_Inputs'!$E$59)*(Generation_Rates!U52))*Generation_Rates!U21</f>
        <v>4008.5384516872268</v>
      </c>
      <c r="V84" s="21">
        <f>((1-'Key_Assumptions_&amp;_Inputs'!$E$59)*(Generation_Rates!V52))*Generation_Rates!V21</f>
        <v>4097.5846477058485</v>
      </c>
      <c r="W84" s="21">
        <f>((1-'Key_Assumptions_&amp;_Inputs'!$E$59)*(Generation_Rates!W52))*Generation_Rates!W21</f>
        <v>4188.4838533661041</v>
      </c>
      <c r="X84" s="21">
        <f>((1-'Key_Assumptions_&amp;_Inputs'!$E$59)*(Generation_Rates!X52))*Generation_Rates!X21</f>
        <v>4281.2702775419366</v>
      </c>
      <c r="Y84" s="21">
        <f>((1-'Key_Assumptions_&amp;_Inputs'!$E$59)*(Generation_Rates!Y52))*Generation_Rates!Y21</f>
        <v>4375.978599040709</v>
      </c>
      <c r="Z84" s="21">
        <f>((1-'Key_Assumptions_&amp;_Inputs'!$E$59)*(Generation_Rates!Z52))*Generation_Rates!Z21</f>
        <v>4472.643966293519</v>
      </c>
      <c r="AA84" s="21">
        <f>((1-'Key_Assumptions_&amp;_Inputs'!$E$59)*(Generation_Rates!AA52))*Generation_Rates!AA21</f>
        <v>4571.3019966651027</v>
      </c>
      <c r="AB84" s="21">
        <f>((1-'Key_Assumptions_&amp;_Inputs'!$E$59)*(Generation_Rates!AB52))*Generation_Rates!AB21</f>
        <v>4671.9887753624353</v>
      </c>
      <c r="AC84" s="28">
        <f>((1-'Key_Assumptions_&amp;_Inputs'!$E$59)*(Generation_Rates!AC52))*Generation_Rates!AC21</f>
        <v>4774.7408539202361</v>
      </c>
    </row>
    <row r="85" spans="1:30" s="257" customFormat="1" x14ac:dyDescent="0.25">
      <c r="A85" s="26"/>
      <c r="C85" s="32" t="s">
        <v>57</v>
      </c>
      <c r="D85" s="243">
        <f>(1-'Key_Assumptions_&amp;_Inputs'!$E$59)*Generation_Rates!D53</f>
        <v>41660.400000000001</v>
      </c>
      <c r="E85" s="22">
        <f>((1-'Key_Assumptions_&amp;_Inputs'!$E$59)*(Generation_Rates!E53))*Generation_Rates!E22</f>
        <v>2513.4494203440004</v>
      </c>
      <c r="F85" s="22">
        <f>((1-'Key_Assumptions_&amp;_Inputs'!$E$59)*(Generation_Rates!F53))*Generation_Rates!F22</f>
        <v>2570.4066976584159</v>
      </c>
      <c r="G85" s="22">
        <f>((1-'Key_Assumptions_&amp;_Inputs'!$E$59)*(Generation_Rates!G53))*Generation_Rates!G22</f>
        <v>2628.5883053414941</v>
      </c>
      <c r="H85" s="22">
        <f>((1-'Key_Assumptions_&amp;_Inputs'!$E$59)*(Generation_Rates!H53))*Generation_Rates!H22</f>
        <v>2688.0182972995331</v>
      </c>
      <c r="I85" s="22">
        <f>((1-'Key_Assumptions_&amp;_Inputs'!$E$59)*(Generation_Rates!I53))*Generation_Rates!I22</f>
        <v>2748.721118624539</v>
      </c>
      <c r="J85" s="22">
        <f>((1-'Key_Assumptions_&amp;_Inputs'!$E$59)*(Generation_Rates!J53))*Generation_Rates!J22</f>
        <v>2810.7216087543302</v>
      </c>
      <c r="K85" s="22">
        <f>((1-'Key_Assumptions_&amp;_Inputs'!$E$59)*(Generation_Rates!K53))*Generation_Rates!K22</f>
        <v>2874.0450045060202</v>
      </c>
      <c r="L85" s="22">
        <f>((1-'Key_Assumptions_&amp;_Inputs'!$E$59)*(Generation_Rates!L53))*Generation_Rates!L22</f>
        <v>2938.7169429733949</v>
      </c>
      <c r="M85" s="22">
        <f>((1-'Key_Assumptions_&amp;_Inputs'!$E$59)*(Generation_Rates!M53))*Generation_Rates!M22</f>
        <v>3004.7634642782723</v>
      </c>
      <c r="N85" s="22">
        <f>((1-'Key_Assumptions_&amp;_Inputs'!$E$59)*(Generation_Rates!N53))*Generation_Rates!N22</f>
        <v>3072.2110141654944</v>
      </c>
      <c r="O85" s="22">
        <f>((1-'Key_Assumptions_&amp;_Inputs'!$E$59)*(Generation_Rates!O53))*Generation_Rates!O22</f>
        <v>3141.0864464307128</v>
      </c>
      <c r="P85" s="22">
        <f>((1-'Key_Assumptions_&amp;_Inputs'!$E$59)*(Generation_Rates!P53))*Generation_Rates!P22</f>
        <v>3211.4170251696892</v>
      </c>
      <c r="Q85" s="22">
        <f>((1-'Key_Assumptions_&amp;_Inputs'!$E$59)*(Generation_Rates!Q53))*Generation_Rates!Q22</f>
        <v>3283.2304268372941</v>
      </c>
      <c r="R85" s="22">
        <f>((1-'Key_Assumptions_&amp;_Inputs'!$E$59)*(Generation_Rates!R53))*Generation_Rates!R22</f>
        <v>3356.5547421038855</v>
      </c>
      <c r="S85" s="22">
        <f>((1-'Key_Assumptions_&amp;_Inputs'!$E$59)*(Generation_Rates!S53))*Generation_Rates!S22</f>
        <v>3431.4184774962218</v>
      </c>
      <c r="T85" s="22">
        <f>((1-'Key_Assumptions_&amp;_Inputs'!$E$59)*(Generation_Rates!T53))*Generation_Rates!T22</f>
        <v>3507.8505568094847</v>
      </c>
      <c r="U85" s="22">
        <f>((1-'Key_Assumptions_&amp;_Inputs'!$E$59)*(Generation_Rates!U53))*Generation_Rates!U22</f>
        <v>3585.8803222764168</v>
      </c>
      <c r="V85" s="22">
        <f>((1-'Key_Assumptions_&amp;_Inputs'!$E$59)*(Generation_Rates!V53))*Generation_Rates!V22</f>
        <v>3665.5375354789849</v>
      </c>
      <c r="W85" s="22">
        <f>((1-'Key_Assumptions_&amp;_Inputs'!$E$59)*(Generation_Rates!W53))*Generation_Rates!W22</f>
        <v>3746.852377987349</v>
      </c>
      <c r="X85" s="22">
        <f>((1-'Key_Assumptions_&amp;_Inputs'!$E$59)*(Generation_Rates!X53))*Generation_Rates!X22</f>
        <v>3829.8554517102589</v>
      </c>
      <c r="Y85" s="22">
        <f>((1-'Key_Assumptions_&amp;_Inputs'!$E$59)*(Generation_Rates!Y53))*Generation_Rates!Y22</f>
        <v>3914.5777789403573</v>
      </c>
      <c r="Z85" s="22">
        <f>((1-'Key_Assumptions_&amp;_Inputs'!$E$59)*(Generation_Rates!Z53))*Generation_Rates!Z22</f>
        <v>4001.0508020771495</v>
      </c>
      <c r="AA85" s="22">
        <f>((1-'Key_Assumptions_&amp;_Inputs'!$E$59)*(Generation_Rates!AA53))*Generation_Rates!AA22</f>
        <v>4089.3063830096721</v>
      </c>
      <c r="AB85" s="22">
        <f>((1-'Key_Assumptions_&amp;_Inputs'!$E$59)*(Generation_Rates!AB53))*Generation_Rates!AB22</f>
        <v>4179.3768021401647</v>
      </c>
      <c r="AC85" s="29">
        <f>((1-'Key_Assumptions_&amp;_Inputs'!$E$59)*(Generation_Rates!AC53))*Generation_Rates!AC22</f>
        <v>4271.2947570292672</v>
      </c>
    </row>
    <row r="86" spans="1:30" s="257" customFormat="1" ht="15.75" thickBot="1" x14ac:dyDescent="0.3">
      <c r="A86" s="27"/>
      <c r="C86" s="33" t="s">
        <v>61</v>
      </c>
      <c r="D86" s="244">
        <f>SUM(D74:D85)</f>
        <v>1073646.5999999999</v>
      </c>
      <c r="E86" s="30">
        <f>SUM(E74:E85)</f>
        <v>64775.096360676005</v>
      </c>
      <c r="F86" s="30">
        <f t="shared" ref="F86:AC86" si="15">SUM(F74:F85)</f>
        <v>66242.964819305285</v>
      </c>
      <c r="G86" s="30">
        <f t="shared" si="15"/>
        <v>67742.385978762963</v>
      </c>
      <c r="H86" s="30">
        <f t="shared" si="15"/>
        <v>69273.979741755567</v>
      </c>
      <c r="I86" s="30">
        <f t="shared" si="15"/>
        <v>70838.376092390696</v>
      </c>
      <c r="J86" s="30">
        <f t="shared" si="15"/>
        <v>72436.215177617531</v>
      </c>
      <c r="K86" s="30">
        <f t="shared" si="15"/>
        <v>74068.147385403718</v>
      </c>
      <c r="L86" s="30">
        <f t="shared" si="15"/>
        <v>75734.833419404968</v>
      </c>
      <c r="M86" s="30">
        <f t="shared" si="15"/>
        <v>77436.944369871344</v>
      </c>
      <c r="N86" s="30">
        <f t="shared" si="15"/>
        <v>79175.16178052382</v>
      </c>
      <c r="O86" s="30">
        <f t="shared" si="15"/>
        <v>80950.177711121767</v>
      </c>
      <c r="P86" s="30">
        <f t="shared" si="15"/>
        <v>82762.694795430478</v>
      </c>
      <c r="Q86" s="30">
        <f t="shared" si="15"/>
        <v>84613.426294284494</v>
      </c>
      <c r="R86" s="30">
        <f t="shared" si="15"/>
        <v>86503.09614342908</v>
      </c>
      <c r="S86" s="30">
        <f t="shared" si="15"/>
        <v>88432.438995808843</v>
      </c>
      <c r="T86" s="30">
        <f t="shared" si="15"/>
        <v>90402.200257957433</v>
      </c>
      <c r="U86" s="30">
        <f t="shared" si="15"/>
        <v>92413.136120127951</v>
      </c>
      <c r="V86" s="30">
        <f t="shared" si="15"/>
        <v>94466.013579787803</v>
      </c>
      <c r="W86" s="30">
        <f t="shared" si="15"/>
        <v>96561.610458085677</v>
      </c>
      <c r="X86" s="30">
        <f t="shared" si="15"/>
        <v>98700.715408881879</v>
      </c>
      <c r="Y86" s="30">
        <f t="shared" si="15"/>
        <v>100884.12791991595</v>
      </c>
      <c r="Z86" s="30">
        <f t="shared" si="15"/>
        <v>103112.65830566689</v>
      </c>
      <c r="AA86" s="30">
        <f t="shared" si="15"/>
        <v>105387.12769144394</v>
      </c>
      <c r="AB86" s="30">
        <f t="shared" si="15"/>
        <v>107708.36798822528</v>
      </c>
      <c r="AC86" s="31">
        <f t="shared" si="15"/>
        <v>110077.22185774258</v>
      </c>
    </row>
    <row r="88" spans="1:30" s="257" customFormat="1" ht="15.75" thickBot="1" x14ac:dyDescent="0.3">
      <c r="A88" s="7"/>
      <c r="C88" s="10" t="s">
        <v>323</v>
      </c>
      <c r="D88" s="11"/>
    </row>
    <row r="89" spans="1:30" s="301" customFormat="1" x14ac:dyDescent="0.25">
      <c r="A89" s="300"/>
      <c r="C89" s="296" t="s">
        <v>58</v>
      </c>
      <c r="D89" s="58" t="s">
        <v>60</v>
      </c>
      <c r="E89" s="303">
        <v>2016</v>
      </c>
      <c r="F89" s="303">
        <v>2017</v>
      </c>
      <c r="G89" s="303">
        <v>2018</v>
      </c>
      <c r="H89" s="303">
        <v>2019</v>
      </c>
      <c r="I89" s="303">
        <v>2020</v>
      </c>
      <c r="J89" s="303">
        <v>2021</v>
      </c>
      <c r="K89" s="303">
        <v>2022</v>
      </c>
      <c r="L89" s="303">
        <v>2023</v>
      </c>
      <c r="M89" s="303">
        <v>2024</v>
      </c>
      <c r="N89" s="303">
        <v>2025</v>
      </c>
      <c r="O89" s="303">
        <v>2026</v>
      </c>
      <c r="P89" s="303">
        <v>2027</v>
      </c>
      <c r="Q89" s="303">
        <v>2028</v>
      </c>
      <c r="R89" s="303">
        <v>2029</v>
      </c>
      <c r="S89" s="303">
        <v>2030</v>
      </c>
      <c r="T89" s="303">
        <v>2031</v>
      </c>
      <c r="U89" s="303">
        <v>2032</v>
      </c>
      <c r="V89" s="303">
        <v>2033</v>
      </c>
      <c r="W89" s="303">
        <v>2034</v>
      </c>
      <c r="X89" s="303">
        <v>2035</v>
      </c>
      <c r="Y89" s="303">
        <v>2036</v>
      </c>
      <c r="Z89" s="303">
        <v>2037</v>
      </c>
      <c r="AA89" s="303">
        <v>2038</v>
      </c>
      <c r="AB89" s="303">
        <v>2039</v>
      </c>
      <c r="AC89" s="304">
        <v>2040</v>
      </c>
      <c r="AD89" s="302"/>
    </row>
    <row r="90" spans="1:30" s="257" customFormat="1" x14ac:dyDescent="0.25">
      <c r="A90" s="26"/>
      <c r="C90" s="24" t="s">
        <v>46</v>
      </c>
      <c r="D90" s="240">
        <f>'Key_Assumptions_&amp;_Inputs'!$E$59*Generation_Rates!D42</f>
        <v>32714</v>
      </c>
      <c r="E90" s="21">
        <f>(E42*'Key_Assumptions_&amp;_Inputs'!$E$59)*Generation_Rates!E26</f>
        <v>1176.8207220000002</v>
      </c>
      <c r="F90" s="21">
        <f>(F42*'Key_Assumptions_&amp;_Inputs'!$E$59)*Generation_Rates!F26</f>
        <v>1203.4886563812422</v>
      </c>
      <c r="G90" s="21">
        <f>(G42*'Key_Assumptions_&amp;_Inputs'!$E$59)*Generation_Rates!G26</f>
        <v>1230.7298337872908</v>
      </c>
      <c r="H90" s="21">
        <f>(H42*'Key_Assumptions_&amp;_Inputs'!$E$59)*Generation_Rates!H26</f>
        <v>1258.5555164839184</v>
      </c>
      <c r="I90" s="21">
        <f>(I42*'Key_Assumptions_&amp;_Inputs'!$E$59)*Generation_Rates!I26</f>
        <v>1286.9771498937337</v>
      </c>
      <c r="J90" s="21">
        <f>(J42*'Key_Assumptions_&amp;_Inputs'!$E$59)*Generation_Rates!J26</f>
        <v>1316.0063640757755</v>
      </c>
      <c r="K90" s="21">
        <f>(K42*'Key_Assumptions_&amp;_Inputs'!$E$59)*Generation_Rates!K26</f>
        <v>1345.6549751458151</v>
      </c>
      <c r="L90" s="21">
        <f>(L42*'Key_Assumptions_&amp;_Inputs'!$E$59)*Generation_Rates!L26</f>
        <v>1375.9349866329364</v>
      </c>
      <c r="M90" s="21">
        <f>(M42*'Key_Assumptions_&amp;_Inputs'!$E$59)*Generation_Rates!M26</f>
        <v>1406.8585907677502</v>
      </c>
      <c r="N90" s="21">
        <f>(N42*'Key_Assumptions_&amp;_Inputs'!$E$59)*Generation_Rates!N26</f>
        <v>1438.4381696973903</v>
      </c>
      <c r="O90" s="21">
        <f>(O42*'Key_Assumptions_&amp;_Inputs'!$E$59)*Generation_Rates!O26</f>
        <v>1470.6862966222293</v>
      </c>
      <c r="P90" s="21">
        <f>(P42*'Key_Assumptions_&amp;_Inputs'!$E$59)*Generation_Rates!P26</f>
        <v>1503.6157368490201</v>
      </c>
      <c r="Q90" s="21">
        <f>(Q42*'Key_Assumptions_&amp;_Inputs'!$E$59)*Generation_Rates!Q26</f>
        <v>1537.2394487549393</v>
      </c>
      <c r="R90" s="21">
        <f>(R42*'Key_Assumptions_&amp;_Inputs'!$E$59)*Generation_Rates!R26</f>
        <v>1571.5705846567612</v>
      </c>
      <c r="S90" s="21">
        <f>(S42*'Key_Assumptions_&amp;_Inputs'!$E$59)*Generation_Rates!S26</f>
        <v>1606.6224915791483</v>
      </c>
      <c r="T90" s="21">
        <f>(T42*'Key_Assumptions_&amp;_Inputs'!$E$59)*Generation_Rates!T26</f>
        <v>1642.4087119157743</v>
      </c>
      <c r="U90" s="21">
        <f>(U42*'Key_Assumptions_&amp;_Inputs'!$E$59)*Generation_Rates!U26</f>
        <v>1678.9429839767247</v>
      </c>
      <c r="V90" s="21">
        <f>(V42*'Key_Assumptions_&amp;_Inputs'!$E$59)*Generation_Rates!V26</f>
        <v>1716.239242415347</v>
      </c>
      <c r="W90" s="21">
        <f>(W42*'Key_Assumptions_&amp;_Inputs'!$E$59)*Generation_Rates!W26</f>
        <v>1754.3116185274198</v>
      </c>
      <c r="X90" s="21">
        <f>(X42*'Key_Assumptions_&amp;_Inputs'!$E$59)*Generation_Rates!X26</f>
        <v>1793.1744404152157</v>
      </c>
      <c r="Y90" s="21">
        <f>(Y42*'Key_Assumptions_&amp;_Inputs'!$E$59)*Generation_Rates!Y26</f>
        <v>1832.8422330087105</v>
      </c>
      <c r="Z90" s="21">
        <f>(Z42*'Key_Assumptions_&amp;_Inputs'!$E$59)*Generation_Rates!Z26</f>
        <v>1873.3297179358728</v>
      </c>
      <c r="AA90" s="21">
        <f>(AA42*'Key_Assumptions_&amp;_Inputs'!$E$59)*Generation_Rates!AA26</f>
        <v>1914.6518132336271</v>
      </c>
      <c r="AB90" s="21">
        <f>(AB42*'Key_Assumptions_&amp;_Inputs'!$E$59)*Generation_Rates!AB26</f>
        <v>1956.8236328907274</v>
      </c>
      <c r="AC90" s="28">
        <f>(AC42*'Key_Assumptions_&amp;_Inputs'!$E$59)*Generation_Rates!AC26</f>
        <v>1999.8604862134223</v>
      </c>
    </row>
    <row r="91" spans="1:30" s="257" customFormat="1" x14ac:dyDescent="0.25">
      <c r="A91" s="26"/>
      <c r="C91" s="24" t="s">
        <v>47</v>
      </c>
      <c r="D91" s="240">
        <f>'Key_Assumptions_&amp;_Inputs'!$E$59*Generation_Rates!D43</f>
        <v>41357.600000000006</v>
      </c>
      <c r="E91" s="21">
        <f>(E43*'Key_Assumptions_&amp;_Inputs'!$E$59)*Generation_Rates!E27</f>
        <v>1487.7569448000004</v>
      </c>
      <c r="F91" s="21">
        <f>(F43*'Key_Assumptions_&amp;_Inputs'!$E$59)*Generation_Rates!F27</f>
        <v>1521.4710049261132</v>
      </c>
      <c r="G91" s="21">
        <f>(G43*'Key_Assumptions_&amp;_Inputs'!$E$59)*Generation_Rates!G27</f>
        <v>1555.9097687180188</v>
      </c>
      <c r="H91" s="21">
        <f>(H43*'Key_Assumptions_&amp;_Inputs'!$E$59)*Generation_Rates!H27</f>
        <v>1591.0874741253072</v>
      </c>
      <c r="I91" s="21">
        <f>(I43*'Key_Assumptions_&amp;_Inputs'!$E$59)*Generation_Rates!I27</f>
        <v>1627.0185906475847</v>
      </c>
      <c r="J91" s="21">
        <f>(J43*'Key_Assumptions_&amp;_Inputs'!$E$59)*Generation_Rates!J27</f>
        <v>1663.7178212049978</v>
      </c>
      <c r="K91" s="21">
        <f>(K43*'Key_Assumptions_&amp;_Inputs'!$E$59)*Generation_Rates!K27</f>
        <v>1701.2001039338072</v>
      </c>
      <c r="L91" s="21">
        <f>(L43*'Key_Assumptions_&amp;_Inputs'!$E$59)*Generation_Rates!L27</f>
        <v>1739.4806139013981</v>
      </c>
      <c r="M91" s="21">
        <f>(M43*'Key_Assumptions_&amp;_Inputs'!$E$59)*Generation_Rates!M27</f>
        <v>1778.574764734863</v>
      </c>
      <c r="N91" s="21">
        <f>(N43*'Key_Assumptions_&amp;_Inputs'!$E$59)*Generation_Rates!N27</f>
        <v>1818.498210157021</v>
      </c>
      <c r="O91" s="21">
        <f>(O43*'Key_Assumptions_&amp;_Inputs'!$E$59)*Generation_Rates!O27</f>
        <v>1859.2668454234733</v>
      </c>
      <c r="P91" s="21">
        <f>(P43*'Key_Assumptions_&amp;_Inputs'!$E$59)*Generation_Rates!P27</f>
        <v>1900.8968086540026</v>
      </c>
      <c r="Q91" s="21">
        <f>(Q43*'Key_Assumptions_&amp;_Inputs'!$E$59)*Generation_Rates!Q27</f>
        <v>1943.4044820513323</v>
      </c>
      <c r="R91" s="21">
        <f>(R43*'Key_Assumptions_&amp;_Inputs'!$E$59)*Generation_Rates!R27</f>
        <v>1986.806492999953</v>
      </c>
      <c r="S91" s="21">
        <f>(S43*'Key_Assumptions_&amp;_Inputs'!$E$59)*Generation_Rates!S27</f>
        <v>2031.1197150374087</v>
      </c>
      <c r="T91" s="21">
        <f>(T43*'Key_Assumptions_&amp;_Inputs'!$E$59)*Generation_Rates!T27</f>
        <v>2076.3612686900974</v>
      </c>
      <c r="U91" s="21">
        <f>(U43*'Key_Assumptions_&amp;_Inputs'!$E$59)*Generation_Rates!U27</f>
        <v>2122.5485221653053</v>
      </c>
      <c r="V91" s="21">
        <f>(V43*'Key_Assumptions_&amp;_Inputs'!$E$59)*Generation_Rates!V27</f>
        <v>2169.6990918908405</v>
      </c>
      <c r="W91" s="21">
        <f>(W43*'Key_Assumptions_&amp;_Inputs'!$E$59)*Generation_Rates!W27</f>
        <v>2217.8308428932451</v>
      </c>
      <c r="X91" s="21">
        <f>(X43*'Key_Assumptions_&amp;_Inputs'!$E$59)*Generation_Rates!X27</f>
        <v>2266.9618890052066</v>
      </c>
      <c r="Y91" s="21">
        <f>(Y43*'Key_Assumptions_&amp;_Inputs'!$E$59)*Generation_Rates!Y27</f>
        <v>2317.1105928923716</v>
      </c>
      <c r="Z91" s="21">
        <f>(Z43*'Key_Assumptions_&amp;_Inputs'!$E$59)*Generation_Rates!Z27</f>
        <v>2368.2955658893643</v>
      </c>
      <c r="AA91" s="21">
        <f>(AA43*'Key_Assumptions_&amp;_Inputs'!$E$59)*Generation_Rates!AA27</f>
        <v>2420.5356676343786</v>
      </c>
      <c r="AB91" s="21">
        <f>(AB43*'Key_Assumptions_&amp;_Inputs'!$E$59)*Generation_Rates!AB27</f>
        <v>2473.8500054912743</v>
      </c>
      <c r="AC91" s="28">
        <f>(AC43*'Key_Assumptions_&amp;_Inputs'!$E$59)*Generation_Rates!AC27</f>
        <v>2528.2579337476382</v>
      </c>
    </row>
    <row r="92" spans="1:30" s="257" customFormat="1" x14ac:dyDescent="0.25">
      <c r="A92" s="26"/>
      <c r="C92" s="24" t="s">
        <v>48</v>
      </c>
      <c r="D92" s="240">
        <f>'Key_Assumptions_&amp;_Inputs'!$E$59*Generation_Rates!D44</f>
        <v>59241.600000000006</v>
      </c>
      <c r="E92" s="21">
        <f>(E44*'Key_Assumptions_&amp;_Inputs'!$E$59)*Generation_Rates!E28</f>
        <v>2131.0980768000004</v>
      </c>
      <c r="F92" s="21">
        <f>(F44*'Key_Assumptions_&amp;_Inputs'!$E$59)*Generation_Rates!F28</f>
        <v>2179.3908903183656</v>
      </c>
      <c r="G92" s="21">
        <f>(G44*'Key_Assumptions_&amp;_Inputs'!$E$59)*Generation_Rates!G28</f>
        <v>2228.7217864306772</v>
      </c>
      <c r="H92" s="21">
        <f>(H44*'Key_Assumptions_&amp;_Inputs'!$E$59)*Generation_Rates!H28</f>
        <v>2279.11115991116</v>
      </c>
      <c r="I92" s="21">
        <f>(I44*'Key_Assumptions_&amp;_Inputs'!$E$59)*Generation_Rates!I28</f>
        <v>2330.5797372117322</v>
      </c>
      <c r="J92" s="21">
        <f>(J44*'Key_Assumptions_&amp;_Inputs'!$E$59)*Generation_Rates!J28</f>
        <v>2383.1485791413907</v>
      </c>
      <c r="K92" s="21">
        <f>(K44*'Key_Assumptions_&amp;_Inputs'!$E$59)*Generation_Rates!K28</f>
        <v>2436.8390834382321</v>
      </c>
      <c r="L92" s="21">
        <f>(L44*'Key_Assumptions_&amp;_Inputs'!$E$59)*Generation_Rates!L28</f>
        <v>2491.6729872260735</v>
      </c>
      <c r="M92" s="21">
        <f>(M44*'Key_Assumptions_&amp;_Inputs'!$E$59)*Generation_Rates!M28</f>
        <v>2547.672369347275</v>
      </c>
      <c r="N92" s="21">
        <f>(N44*'Key_Assumptions_&amp;_Inputs'!$E$59)*Generation_Rates!N28</f>
        <v>2604.8596525629673</v>
      </c>
      <c r="O92" s="21">
        <f>(O44*'Key_Assumptions_&amp;_Inputs'!$E$59)*Generation_Rates!O28</f>
        <v>2663.2576056115258</v>
      </c>
      <c r="P92" s="21">
        <f>(P44*'Key_Assumptions_&amp;_Inputs'!$E$59)*Generation_Rates!P28</f>
        <v>2722.8893451156973</v>
      </c>
      <c r="Q92" s="21">
        <f>(Q44*'Key_Assumptions_&amp;_Inputs'!$E$59)*Generation_Rates!Q28</f>
        <v>2783.7783373283792</v>
      </c>
      <c r="R92" s="21">
        <f>(R44*'Key_Assumptions_&amp;_Inputs'!$E$59)*Generation_Rates!R28</f>
        <v>2845.9483997066086</v>
      </c>
      <c r="S92" s="21">
        <f>(S44*'Key_Assumptions_&amp;_Inputs'!$E$59)*Generation_Rates!S28</f>
        <v>2909.4237023028454</v>
      </c>
      <c r="T92" s="21">
        <f>(T44*'Key_Assumptions_&amp;_Inputs'!$E$59)*Generation_Rates!T28</f>
        <v>2974.2287689622044</v>
      </c>
      <c r="U92" s="21">
        <f>(U44*'Key_Assumptions_&amp;_Inputs'!$E$59)*Generation_Rates!U28</f>
        <v>3040.388478313735</v>
      </c>
      <c r="V92" s="21">
        <f>(V44*'Key_Assumptions_&amp;_Inputs'!$E$59)*Generation_Rates!V28</f>
        <v>3107.9280645434069</v>
      </c>
      <c r="W92" s="21">
        <f>(W44*'Key_Assumptions_&amp;_Inputs'!$E$59)*Generation_Rates!W28</f>
        <v>3176.8731179358683</v>
      </c>
      <c r="X92" s="21">
        <f>(X44*'Key_Assumptions_&amp;_Inputs'!$E$59)*Generation_Rates!X28</f>
        <v>3247.2495851715485</v>
      </c>
      <c r="Y92" s="21">
        <f>(Y44*'Key_Assumptions_&amp;_Inputs'!$E$59)*Generation_Rates!Y28</f>
        <v>3319.0837693650674</v>
      </c>
      <c r="Z92" s="21">
        <f>(Z44*'Key_Assumptions_&amp;_Inputs'!$E$59)*Generation_Rates!Z28</f>
        <v>3392.4023298303428</v>
      </c>
      <c r="AA92" s="21">
        <f>(AA44*'Key_Assumptions_&amp;_Inputs'!$E$59)*Generation_Rates!AA28</f>
        <v>3467.2322815571702</v>
      </c>
      <c r="AB92" s="21">
        <f>(AB44*'Key_Assumptions_&amp;_Inputs'!$E$59)*Generation_Rates!AB28</f>
        <v>3543.6009943834233</v>
      </c>
      <c r="AC92" s="28">
        <f>(AC44*'Key_Assumptions_&amp;_Inputs'!$E$59)*Generation_Rates!AC28</f>
        <v>3621.5361918463373</v>
      </c>
    </row>
    <row r="93" spans="1:30" s="257" customFormat="1" x14ac:dyDescent="0.25">
      <c r="A93" s="26"/>
      <c r="C93" s="24" t="s">
        <v>49</v>
      </c>
      <c r="D93" s="240">
        <f>'Key_Assumptions_&amp;_Inputs'!$E$59*Generation_Rates!D45</f>
        <v>67057.2</v>
      </c>
      <c r="E93" s="21">
        <f>(E45*'Key_Assumptions_&amp;_Inputs'!$E$59)*Generation_Rates!E29</f>
        <v>2412.2486556000003</v>
      </c>
      <c r="F93" s="21">
        <f>(F45*'Key_Assumptions_&amp;_Inputs'!$E$59)*Generation_Rates!F29</f>
        <v>2466.9126223845524</v>
      </c>
      <c r="G93" s="21">
        <f>(G45*'Key_Assumptions_&amp;_Inputs'!$E$59)*Generation_Rates!G29</f>
        <v>2522.7516234713312</v>
      </c>
      <c r="H93" s="21">
        <f>(H45*'Key_Assumptions_&amp;_Inputs'!$E$59)*Generation_Rates!H29</f>
        <v>2579.7887442674514</v>
      </c>
      <c r="I93" s="21">
        <f>(I45*'Key_Assumptions_&amp;_Inputs'!$E$59)*Generation_Rates!I29</f>
        <v>2638.0474456151519</v>
      </c>
      <c r="J93" s="21">
        <f>(J45*'Key_Assumptions_&amp;_Inputs'!$E$59)*Generation_Rates!J29</f>
        <v>2697.5515668246649</v>
      </c>
      <c r="K93" s="21">
        <f>(K45*'Key_Assumptions_&amp;_Inputs'!$E$59)*Generation_Rates!K29</f>
        <v>2758.3253285855581</v>
      </c>
      <c r="L93" s="21">
        <f>(L45*'Key_Assumptions_&amp;_Inputs'!$E$59)*Generation_Rates!L29</f>
        <v>2820.3933357474525</v>
      </c>
      <c r="M93" s="21">
        <f>(M45*'Key_Assumptions_&amp;_Inputs'!$E$59)*Generation_Rates!M29</f>
        <v>2883.7805799606035</v>
      </c>
      <c r="N93" s="21">
        <f>(N45*'Key_Assumptions_&amp;_Inputs'!$E$59)*Generation_Rates!N29</f>
        <v>2948.5124421664068</v>
      </c>
      <c r="O93" s="21">
        <f>(O45*'Key_Assumptions_&amp;_Inputs'!$E$59)*Generation_Rates!O29</f>
        <v>3014.6146949274366</v>
      </c>
      <c r="P93" s="21">
        <f>(P45*'Key_Assumptions_&amp;_Inputs'!$E$59)*Generation_Rates!P29</f>
        <v>3082.1135045861743</v>
      </c>
      <c r="Q93" s="21">
        <f>(Q45*'Key_Assumptions_&amp;_Inputs'!$E$59)*Generation_Rates!Q29</f>
        <v>3151.0354332411111</v>
      </c>
      <c r="R93" s="21">
        <f>(R45*'Key_Assumptions_&amp;_Inputs'!$E$59)*Generation_Rates!R29</f>
        <v>3221.4074405283786</v>
      </c>
      <c r="S93" s="21">
        <f>(S45*'Key_Assumptions_&amp;_Inputs'!$E$59)*Generation_Rates!S29</f>
        <v>3293.2568851965907</v>
      </c>
      <c r="T93" s="21">
        <f>(T45*'Key_Assumptions_&amp;_Inputs'!$E$59)*Generation_Rates!T29</f>
        <v>3366.6115264620184</v>
      </c>
      <c r="U93" s="21">
        <f>(U45*'Key_Assumptions_&amp;_Inputs'!$E$59)*Generation_Rates!U29</f>
        <v>3441.4995251306482</v>
      </c>
      <c r="V93" s="21">
        <f>(V45*'Key_Assumptions_&amp;_Inputs'!$E$59)*Generation_Rates!V29</f>
        <v>3517.9494444731426</v>
      </c>
      <c r="W93" s="21">
        <f>(W45*'Key_Assumptions_&amp;_Inputs'!$E$59)*Generation_Rates!W29</f>
        <v>3595.9902508380783</v>
      </c>
      <c r="X93" s="21">
        <f>(X45*'Key_Assumptions_&amp;_Inputs'!$E$59)*Generation_Rates!X29</f>
        <v>3675.6513139882372</v>
      </c>
      <c r="Y93" s="21">
        <f>(Y45*'Key_Assumptions_&amp;_Inputs'!$E$59)*Generation_Rates!Y29</f>
        <v>3756.9624071440885</v>
      </c>
      <c r="Z93" s="21">
        <f>(Z45*'Key_Assumptions_&amp;_Inputs'!$E$59)*Generation_Rates!Z29</f>
        <v>3839.9537067179017</v>
      </c>
      <c r="AA93" s="21">
        <f>(AA45*'Key_Assumptions_&amp;_Inputs'!$E$59)*Generation_Rates!AA29</f>
        <v>3924.6557917212808</v>
      </c>
      <c r="AB93" s="21">
        <f>(AB45*'Key_Assumptions_&amp;_Inputs'!$E$59)*Generation_Rates!AB29</f>
        <v>4011.0996428281492</v>
      </c>
      <c r="AC93" s="28">
        <f>(AC45*'Key_Assumptions_&amp;_Inputs'!$E$59)*Generation_Rates!AC29</f>
        <v>4099.3166410744843</v>
      </c>
    </row>
    <row r="94" spans="1:30" s="257" customFormat="1" x14ac:dyDescent="0.25">
      <c r="A94" s="26"/>
      <c r="C94" s="24" t="s">
        <v>50</v>
      </c>
      <c r="D94" s="240">
        <f>'Key_Assumptions_&amp;_Inputs'!$E$59*Generation_Rates!D46</f>
        <v>88676.800000000003</v>
      </c>
      <c r="E94" s="21">
        <f>(E46*'Key_Assumptions_&amp;_Inputs'!$E$59)*Generation_Rates!E30</f>
        <v>3189.9705264000004</v>
      </c>
      <c r="F94" s="21">
        <f>(F46*'Key_Assumptions_&amp;_Inputs'!$E$59)*Generation_Rates!F30</f>
        <v>3262.2584484987515</v>
      </c>
      <c r="G94" s="21">
        <f>(G46*'Key_Assumptions_&amp;_Inputs'!$E$59)*Generation_Rates!G30</f>
        <v>3336.1002422445695</v>
      </c>
      <c r="H94" s="21">
        <f>(H46*'Key_Assumptions_&amp;_Inputs'!$E$59)*Generation_Rates!H30</f>
        <v>3411.5264359033172</v>
      </c>
      <c r="I94" s="21">
        <f>(I46*'Key_Assumptions_&amp;_Inputs'!$E$59)*Generation_Rates!I30</f>
        <v>3488.5680542182754</v>
      </c>
      <c r="J94" s="21">
        <f>(J46*'Key_Assumptions_&amp;_Inputs'!$E$59)*Generation_Rates!J30</f>
        <v>3567.2566224208208</v>
      </c>
      <c r="K94" s="21">
        <f>(K46*'Key_Assumptions_&amp;_Inputs'!$E$59)*Generation_Rates!K30</f>
        <v>3647.6241700804067</v>
      </c>
      <c r="L94" s="21">
        <f>(L46*'Key_Assumptions_&amp;_Inputs'!$E$59)*Generation_Rates!L30</f>
        <v>3729.7032347817935</v>
      </c>
      <c r="M94" s="21">
        <f>(M46*'Key_Assumptions_&amp;_Inputs'!$E$59)*Generation_Rates!M30</f>
        <v>3813.5268656169724</v>
      </c>
      <c r="N94" s="21">
        <f>(N46*'Key_Assumptions_&amp;_Inputs'!$E$59)*Generation_Rates!N30</f>
        <v>3899.1286264786186</v>
      </c>
      <c r="O94" s="21">
        <f>(O46*'Key_Assumptions_&amp;_Inputs'!$E$59)*Generation_Rates!O30</f>
        <v>3986.5425991413495</v>
      </c>
      <c r="P94" s="21">
        <f>(P46*'Key_Assumptions_&amp;_Inputs'!$E$59)*Generation_Rates!P30</f>
        <v>4075.803386116439</v>
      </c>
      <c r="Q94" s="21">
        <f>(Q46*'Key_Assumptions_&amp;_Inputs'!$E$59)*Generation_Rates!Q30</f>
        <v>4166.946113265024</v>
      </c>
      <c r="R94" s="21">
        <f>(R46*'Key_Assumptions_&amp;_Inputs'!$E$59)*Generation_Rates!R30</f>
        <v>4260.0064321541449</v>
      </c>
      <c r="S94" s="21">
        <f>(S46*'Key_Assumptions_&amp;_Inputs'!$E$59)*Generation_Rates!S30</f>
        <v>4355.0205221393235</v>
      </c>
      <c r="T94" s="21">
        <f>(T46*'Key_Assumptions_&amp;_Inputs'!$E$59)*Generation_Rates!T30</f>
        <v>4452.025092156653</v>
      </c>
      <c r="U94" s="21">
        <f>(U46*'Key_Assumptions_&amp;_Inputs'!$E$59)*Generation_Rates!U30</f>
        <v>4551.0573822066162</v>
      </c>
      <c r="V94" s="21">
        <f>(V46*'Key_Assumptions_&amp;_Inputs'!$E$59)*Generation_Rates!V30</f>
        <v>4652.155164511134</v>
      </c>
      <c r="W94" s="21">
        <f>(W46*'Key_Assumptions_&amp;_Inputs'!$E$59)*Generation_Rates!W30</f>
        <v>4755.3567443245183</v>
      </c>
      <c r="X94" s="21">
        <f>(X46*'Key_Assumptions_&amp;_Inputs'!$E$59)*Generation_Rates!X30</f>
        <v>4860.7009603781871</v>
      </c>
      <c r="Y94" s="21">
        <f>(Y46*'Key_Assumptions_&amp;_Inputs'!$E$59)*Generation_Rates!Y30</f>
        <v>4968.2271849381559</v>
      </c>
      <c r="Z94" s="21">
        <f>(Z46*'Key_Assumptions_&amp;_Inputs'!$E$59)*Generation_Rates!Z30</f>
        <v>5077.9753234534392</v>
      </c>
      <c r="AA94" s="21">
        <f>(AA46*'Key_Assumptions_&amp;_Inputs'!$E$59)*Generation_Rates!AA30</f>
        <v>5189.985813772566</v>
      </c>
      <c r="AB94" s="21">
        <f>(AB46*'Key_Assumptions_&amp;_Inputs'!$E$59)*Generation_Rates!AB30</f>
        <v>5304.2996249044581</v>
      </c>
      <c r="AC94" s="28">
        <f>(AC46*'Key_Assumptions_&amp;_Inputs'!$E$59)*Generation_Rates!AC30</f>
        <v>5420.9582552989668</v>
      </c>
    </row>
    <row r="95" spans="1:30" s="257" customFormat="1" x14ac:dyDescent="0.25">
      <c r="A95" s="26"/>
      <c r="C95" s="24" t="s">
        <v>51</v>
      </c>
      <c r="D95" s="240">
        <f>'Key_Assumptions_&amp;_Inputs'!$E$59*Generation_Rates!D47</f>
        <v>87734.8</v>
      </c>
      <c r="E95" s="21">
        <f>(E47*'Key_Assumptions_&amp;_Inputs'!$E$59)*Generation_Rates!E31</f>
        <v>3156.0839604000007</v>
      </c>
      <c r="F95" s="21">
        <f>(F47*'Key_Assumptions_&amp;_Inputs'!$E$59)*Generation_Rates!F31</f>
        <v>3227.603979026625</v>
      </c>
      <c r="G95" s="21">
        <f>(G47*'Key_Assumptions_&amp;_Inputs'!$E$59)*Generation_Rates!G31</f>
        <v>3300.6613627609345</v>
      </c>
      <c r="H95" s="21">
        <f>(H47*'Key_Assumptions_&amp;_Inputs'!$E$59)*Generation_Rates!H31</f>
        <v>3375.2863155717205</v>
      </c>
      <c r="I95" s="21">
        <f>(I47*'Key_Assumptions_&amp;_Inputs'!$E$59)*Generation_Rates!I31</f>
        <v>3451.5095326311903</v>
      </c>
      <c r="J95" s="21">
        <f>(J47*'Key_Assumptions_&amp;_Inputs'!$E$59)*Generation_Rates!J31</f>
        <v>3529.3622042830393</v>
      </c>
      <c r="K95" s="21">
        <f>(K47*'Key_Assumptions_&amp;_Inputs'!$E$59)*Generation_Rates!K31</f>
        <v>3608.8760198515329</v>
      </c>
      <c r="L95" s="21">
        <f>(L47*'Key_Assumptions_&amp;_Inputs'!$E$59)*Generation_Rates!L31</f>
        <v>3690.0831712796767</v>
      </c>
      <c r="M95" s="21">
        <f>(M47*'Key_Assumptions_&amp;_Inputs'!$E$59)*Generation_Rates!M31</f>
        <v>3773.0163565840435</v>
      </c>
      <c r="N95" s="21">
        <f>(N47*'Key_Assumptions_&amp;_Inputs'!$E$59)*Generation_Rates!N31</f>
        <v>3857.7087831132417</v>
      </c>
      <c r="O95" s="21">
        <f>(O47*'Key_Assumptions_&amp;_Inputs'!$E$59)*Generation_Rates!O31</f>
        <v>3944.1941705964405</v>
      </c>
      <c r="P95" s="21">
        <f>(P47*'Key_Assumptions_&amp;_Inputs'!$E$59)*Generation_Rates!P31</f>
        <v>4032.5067539677634</v>
      </c>
      <c r="Q95" s="21">
        <f>(Q47*'Key_Assumptions_&amp;_Inputs'!$E$59)*Generation_Rates!Q31</f>
        <v>4122.6812859517286</v>
      </c>
      <c r="R95" s="21">
        <f>(R47*'Key_Assumptions_&amp;_Inputs'!$E$59)*Generation_Rates!R31</f>
        <v>4214.7530393942652</v>
      </c>
      <c r="S95" s="21">
        <f>(S47*'Key_Assumptions_&amp;_Inputs'!$E$59)*Generation_Rates!S31</f>
        <v>4308.7578093231732</v>
      </c>
      <c r="T95" s="21">
        <f>(T47*'Key_Assumptions_&amp;_Inputs'!$E$59)*Generation_Rates!T31</f>
        <v>4404.731914721162</v>
      </c>
      <c r="U95" s="21">
        <f>(U47*'Key_Assumptions_&amp;_Inputs'!$E$59)*Generation_Rates!U31</f>
        <v>4502.7121999939209</v>
      </c>
      <c r="V95" s="21">
        <f>(V47*'Key_Assumptions_&amp;_Inputs'!$E$59)*Generation_Rates!V31</f>
        <v>4602.7360361148731</v>
      </c>
      <c r="W95" s="21">
        <f>(W47*'Key_Assumptions_&amp;_Inputs'!$E$59)*Generation_Rates!W31</f>
        <v>4704.841321427507</v>
      </c>
      <c r="X95" s="21">
        <f>(X47*'Key_Assumptions_&amp;_Inputs'!$E$59)*Generation_Rates!X31</f>
        <v>4809.0664820853717</v>
      </c>
      <c r="Y95" s="21">
        <f>(Y47*'Key_Assumptions_&amp;_Inputs'!$E$59)*Generation_Rates!Y31</f>
        <v>4915.4504721089625</v>
      </c>
      <c r="Z95" s="21">
        <f>(Z47*'Key_Assumptions_&amp;_Inputs'!$E$59)*Generation_Rates!Z31</f>
        <v>5024.0327730378494</v>
      </c>
      <c r="AA95" s="21">
        <f>(AA47*'Key_Assumptions_&amp;_Inputs'!$E$59)*Generation_Rates!AA31</f>
        <v>5134.8533931555185</v>
      </c>
      <c r="AB95" s="21">
        <f>(AB47*'Key_Assumptions_&amp;_Inputs'!$E$59)*Generation_Rates!AB31</f>
        <v>5247.9528662634148</v>
      </c>
      <c r="AC95" s="28">
        <f>(AC47*'Key_Assumptions_&amp;_Inputs'!$E$59)*Generation_Rates!AC31</f>
        <v>5363.3722499797441</v>
      </c>
    </row>
    <row r="96" spans="1:30" s="257" customFormat="1" x14ac:dyDescent="0.25">
      <c r="A96" s="26"/>
      <c r="C96" s="24" t="s">
        <v>52</v>
      </c>
      <c r="D96" s="240">
        <f>'Key_Assumptions_&amp;_Inputs'!$E$59*Generation_Rates!D48</f>
        <v>88418.8</v>
      </c>
      <c r="E96" s="21">
        <f>(E48*'Key_Assumptions_&amp;_Inputs'!$E$59)*Generation_Rates!E32</f>
        <v>3180.6894924000007</v>
      </c>
      <c r="F96" s="21">
        <f>(F48*'Key_Assumptions_&amp;_Inputs'!$E$59)*Generation_Rates!F32</f>
        <v>3252.767096987277</v>
      </c>
      <c r="G96" s="21">
        <f>(G48*'Key_Assumptions_&amp;_Inputs'!$E$59)*Generation_Rates!G32</f>
        <v>3326.3940523223</v>
      </c>
      <c r="H96" s="21">
        <f>(H48*'Key_Assumptions_&amp;_Inputs'!$E$59)*Generation_Rates!H32</f>
        <v>3401.6007978507141</v>
      </c>
      <c r="I96" s="21">
        <f>(I48*'Key_Assumptions_&amp;_Inputs'!$E$59)*Generation_Rates!I32</f>
        <v>3478.4182680511112</v>
      </c>
      <c r="J96" s="21">
        <f>(J48*'Key_Assumptions_&amp;_Inputs'!$E$59)*Generation_Rates!J32</f>
        <v>3556.8778964340399</v>
      </c>
      <c r="K96" s="21">
        <f>(K48*'Key_Assumptions_&amp;_Inputs'!$E$59)*Generation_Rates!K32</f>
        <v>3637.0116193807789</v>
      </c>
      <c r="L96" s="21">
        <f>(L48*'Key_Assumptions_&amp;_Inputs'!$E$59)*Generation_Rates!L32</f>
        <v>3718.8518798098758</v>
      </c>
      <c r="M96" s="21">
        <f>(M48*'Key_Assumptions_&amp;_Inputs'!$E$59)*Generation_Rates!M32</f>
        <v>3802.4316306589094</v>
      </c>
      <c r="N96" s="21">
        <f>(N48*'Key_Assumptions_&amp;_Inputs'!$E$59)*Generation_Rates!N32</f>
        <v>3887.784338168356</v>
      </c>
      <c r="O96" s="21">
        <f>(O48*'Key_Assumptions_&amp;_Inputs'!$E$59)*Generation_Rates!O32</f>
        <v>3974.9439849538903</v>
      </c>
      <c r="P96" s="21">
        <f>(P48*'Key_Assumptions_&amp;_Inputs'!$E$59)*Generation_Rates!P32</f>
        <v>4063.9450728527895</v>
      </c>
      <c r="Q96" s="21">
        <f>(Q48*'Key_Assumptions_&amp;_Inputs'!$E$59)*Generation_Rates!Q32</f>
        <v>4154.8226255295358</v>
      </c>
      <c r="R96" s="21">
        <f>(R48*'Key_Assumptions_&amp;_Inputs'!$E$59)*Generation_Rates!R32</f>
        <v>4247.6121908250061</v>
      </c>
      <c r="S96" s="21">
        <f>(S48*'Key_Assumptions_&amp;_Inputs'!$E$59)*Generation_Rates!S32</f>
        <v>4342.3498428329895</v>
      </c>
      <c r="T96" s="21">
        <f>(T48*'Key_Assumptions_&amp;_Inputs'!$E$59)*Generation_Rates!T32</f>
        <v>4439.0721836870607</v>
      </c>
      <c r="U96" s="21">
        <f>(U48*'Key_Assumptions_&amp;_Inputs'!$E$59)*Generation_Rates!U32</f>
        <v>4537.8163450400825</v>
      </c>
      <c r="V96" s="21">
        <f>(V48*'Key_Assumptions_&amp;_Inputs'!$E$59)*Generation_Rates!V32</f>
        <v>4638.6199892178902</v>
      </c>
      <c r="W96" s="21">
        <f>(W48*'Key_Assumptions_&amp;_Inputs'!$E$59)*Generation_Rates!W32</f>
        <v>4741.5213100278843</v>
      </c>
      <c r="X96" s="21">
        <f>(X48*'Key_Assumptions_&amp;_Inputs'!$E$59)*Generation_Rates!X32</f>
        <v>4846.5590332024476</v>
      </c>
      <c r="Y96" s="21">
        <f>(Y48*'Key_Assumptions_&amp;_Inputs'!$E$59)*Generation_Rates!Y32</f>
        <v>4953.7724164562751</v>
      </c>
      <c r="Z96" s="21">
        <f>(Z48*'Key_Assumptions_&amp;_Inputs'!$E$59)*Generation_Rates!Z32</f>
        <v>5063.2012491357937</v>
      </c>
      <c r="AA96" s="21">
        <f>(AA48*'Key_Assumptions_&amp;_Inputs'!$E$59)*Generation_Rates!AA32</f>
        <v>5174.8858514379617</v>
      </c>
      <c r="AB96" s="21">
        <f>(AB48*'Key_Assumptions_&amp;_Inputs'!$E$59)*Generation_Rates!AB32</f>
        <v>5288.8670731747461</v>
      </c>
      <c r="AC96" s="28">
        <f>(AC48*'Key_Assumptions_&amp;_Inputs'!$E$59)*Generation_Rates!AC32</f>
        <v>5405.1862920586709</v>
      </c>
    </row>
    <row r="97" spans="1:29" s="257" customFormat="1" x14ac:dyDescent="0.25">
      <c r="A97" s="26"/>
      <c r="C97" s="24" t="s">
        <v>53</v>
      </c>
      <c r="D97" s="240">
        <f>'Key_Assumptions_&amp;_Inputs'!$E$59*Generation_Rates!D49</f>
        <v>76606</v>
      </c>
      <c r="E97" s="21">
        <f>(E49*'Key_Assumptions_&amp;_Inputs'!$E$59)*Generation_Rates!E33</f>
        <v>2755.7476380000003</v>
      </c>
      <c r="F97" s="21">
        <f>(F49*'Key_Assumptions_&amp;_Inputs'!$E$59)*Generation_Rates!F33</f>
        <v>2818.1956352247184</v>
      </c>
      <c r="G97" s="21">
        <f>(G49*'Key_Assumptions_&amp;_Inputs'!$E$59)*Generation_Rates!G33</f>
        <v>2881.9859890905791</v>
      </c>
      <c r="H97" s="21">
        <f>(H49*'Key_Assumptions_&amp;_Inputs'!$E$59)*Generation_Rates!H33</f>
        <v>2947.1450723166545</v>
      </c>
      <c r="I97" s="21">
        <f>(I49*'Key_Assumptions_&amp;_Inputs'!$E$59)*Generation_Rates!I33</f>
        <v>3013.6996865182905</v>
      </c>
      <c r="J97" s="21">
        <f>(J49*'Key_Assumptions_&amp;_Inputs'!$E$59)*Generation_Rates!J33</f>
        <v>3081.677065671849</v>
      </c>
      <c r="K97" s="21">
        <f>(K49*'Key_Assumptions_&amp;_Inputs'!$E$59)*Generation_Rates!K33</f>
        <v>3151.1048794406156</v>
      </c>
      <c r="L97" s="21">
        <f>(L49*'Key_Assumptions_&amp;_Inputs'!$E$59)*Generation_Rates!L33</f>
        <v>3222.0112363514932</v>
      </c>
      <c r="M97" s="21">
        <f>(M49*'Key_Assumptions_&amp;_Inputs'!$E$59)*Generation_Rates!M33</f>
        <v>3294.424686811587</v>
      </c>
      <c r="N97" s="21">
        <f>(N49*'Key_Assumptions_&amp;_Inputs'!$E$59)*Generation_Rates!N33</f>
        <v>3368.3742259533615</v>
      </c>
      <c r="O97" s="21">
        <f>(O49*'Key_Assumptions_&amp;_Inputs'!$E$59)*Generation_Rates!O33</f>
        <v>3443.8892962964628</v>
      </c>
      <c r="P97" s="21">
        <f>(P49*'Key_Assumptions_&amp;_Inputs'!$E$59)*Generation_Rates!P33</f>
        <v>3520.9997902138543</v>
      </c>
      <c r="Q97" s="21">
        <f>(Q49*'Key_Assumptions_&amp;_Inputs'!$E$59)*Generation_Rates!Q33</f>
        <v>3599.7360521893038</v>
      </c>
      <c r="R97" s="21">
        <f>(R49*'Key_Assumptions_&amp;_Inputs'!$E$59)*Generation_Rates!R33</f>
        <v>3680.1288808527197</v>
      </c>
      <c r="S97" s="21">
        <f>(S49*'Key_Assumptions_&amp;_Inputs'!$E$59)*Generation_Rates!S33</f>
        <v>3762.2095307792461</v>
      </c>
      <c r="T97" s="21">
        <f>(T49*'Key_Assumptions_&amp;_Inputs'!$E$59)*Generation_Rates!T33</f>
        <v>3846.0097140374096</v>
      </c>
      <c r="U97" s="21">
        <f>(U49*'Key_Assumptions_&amp;_Inputs'!$E$59)*Generation_Rates!U33</f>
        <v>3931.5616014709594</v>
      </c>
      <c r="V97" s="21">
        <f>(V49*'Key_Assumptions_&amp;_Inputs'!$E$59)*Generation_Rates!V33</f>
        <v>4018.8978236984185</v>
      </c>
      <c r="W97" s="21">
        <f>(W49*'Key_Assumptions_&amp;_Inputs'!$E$59)*Generation_Rates!W33</f>
        <v>4108.0514718136428</v>
      </c>
      <c r="X97" s="21">
        <f>(X49*'Key_Assumptions_&amp;_Inputs'!$E$59)*Generation_Rates!X33</f>
        <v>4199.056097770007</v>
      </c>
      <c r="Y97" s="21">
        <f>(Y49*'Key_Assumptions_&amp;_Inputs'!$E$59)*Generation_Rates!Y33</f>
        <v>4291.9457144300695</v>
      </c>
      <c r="Z97" s="21">
        <f>(Z49*'Key_Assumptions_&amp;_Inputs'!$E$59)*Generation_Rates!Z33</f>
        <v>4386.7547952618297</v>
      </c>
      <c r="AA97" s="21">
        <f>(AA49*'Key_Assumptions_&amp;_Inputs'!$E$59)*Generation_Rates!AA33</f>
        <v>4483.5182736618963</v>
      </c>
      <c r="AB97" s="21">
        <f>(AB49*'Key_Assumptions_&amp;_Inputs'!$E$59)*Generation_Rates!AB33</f>
        <v>4582.2715418850348</v>
      </c>
      <c r="AC97" s="28">
        <f>(AC49*'Key_Assumptions_&amp;_Inputs'!$E$59)*Generation_Rates!AC33</f>
        <v>4683.0504495587647</v>
      </c>
    </row>
    <row r="98" spans="1:29" s="257" customFormat="1" x14ac:dyDescent="0.25">
      <c r="A98" s="26"/>
      <c r="C98" s="24" t="s">
        <v>54</v>
      </c>
      <c r="D98" s="240">
        <f>'Key_Assumptions_&amp;_Inputs'!$E$59*Generation_Rates!D50</f>
        <v>64185.200000000004</v>
      </c>
      <c r="E98" s="21">
        <f>(E50*'Key_Assumptions_&amp;_Inputs'!$E$59)*Generation_Rates!E34</f>
        <v>2308.9341996000003</v>
      </c>
      <c r="F98" s="21">
        <f>(F50*'Key_Assumptions_&amp;_Inputs'!$E$59)*Generation_Rates!F34</f>
        <v>2361.2569574971362</v>
      </c>
      <c r="G98" s="21">
        <f>(G50*'Key_Assumptions_&amp;_Inputs'!$E$59)*Generation_Rates!G34</f>
        <v>2414.7044240265336</v>
      </c>
      <c r="H98" s="21">
        <f>(H50*'Key_Assumptions_&amp;_Inputs'!$E$59)*Generation_Rates!H34</f>
        <v>2469.2986958679335</v>
      </c>
      <c r="I98" s="21">
        <f>(I50*'Key_Assumptions_&amp;_Inputs'!$E$59)*Generation_Rates!I34</f>
        <v>2525.0622290566507</v>
      </c>
      <c r="J98" s="21">
        <f>(J50*'Key_Assumptions_&amp;_Inputs'!$E$59)*Generation_Rates!J34</f>
        <v>2582.0178418865462</v>
      </c>
      <c r="K98" s="21">
        <f>(K50*'Key_Assumptions_&amp;_Inputs'!$E$59)*Generation_Rates!K34</f>
        <v>2640.1887176966793</v>
      </c>
      <c r="L98" s="21">
        <f>(L50*'Key_Assumptions_&amp;_Inputs'!$E$59)*Generation_Rates!L34</f>
        <v>2699.5984075329325</v>
      </c>
      <c r="M98" s="21">
        <f>(M50*'Key_Assumptions_&amp;_Inputs'!$E$59)*Generation_Rates!M34</f>
        <v>2760.2708326754964</v>
      </c>
      <c r="N98" s="21">
        <f>(N50*'Key_Assumptions_&amp;_Inputs'!$E$59)*Generation_Rates!N34</f>
        <v>2822.2302870227095</v>
      </c>
      <c r="O98" s="21">
        <f>(O50*'Key_Assumptions_&amp;_Inputs'!$E$59)*Generation_Rates!O34</f>
        <v>2885.5014393213032</v>
      </c>
      <c r="P98" s="21">
        <f>(P50*'Key_Assumptions_&amp;_Inputs'!$E$59)*Generation_Rates!P34</f>
        <v>2950.1093352326752</v>
      </c>
      <c r="Q98" s="21">
        <f>(Q50*'Key_Assumptions_&amp;_Inputs'!$E$59)*Generation_Rates!Q34</f>
        <v>3016.0793992243548</v>
      </c>
      <c r="R98" s="21">
        <f>(R50*'Key_Assumptions_&amp;_Inputs'!$E$59)*Generation_Rates!R34</f>
        <v>3083.4374362753301</v>
      </c>
      <c r="S98" s="21">
        <f>(S50*'Key_Assumptions_&amp;_Inputs'!$E$59)*Generation_Rates!S34</f>
        <v>3152.2096333834434</v>
      </c>
      <c r="T98" s="21">
        <f>(T50*'Key_Assumptions_&amp;_Inputs'!$E$59)*Generation_Rates!T34</f>
        <v>3222.4225608625161</v>
      </c>
      <c r="U98" s="21">
        <f>(U50*'Key_Assumptions_&amp;_Inputs'!$E$59)*Generation_Rates!U34</f>
        <v>3294.1031734163626</v>
      </c>
      <c r="V98" s="21">
        <f>(V50*'Key_Assumptions_&amp;_Inputs'!$E$59)*Generation_Rates!V34</f>
        <v>3367.278810976265</v>
      </c>
      <c r="W98" s="21">
        <f>(W50*'Key_Assumptions_&amp;_Inputs'!$E$59)*Generation_Rates!W34</f>
        <v>3441.9771992879546</v>
      </c>
      <c r="X98" s="21">
        <f>(X50*'Key_Assumptions_&amp;_Inputs'!$E$59)*Generation_Rates!X34</f>
        <v>3518.2264502334997</v>
      </c>
      <c r="Y98" s="21">
        <f>(Y50*'Key_Assumptions_&amp;_Inputs'!$E$59)*Generation_Rates!Y34</f>
        <v>3596.0550618729194</v>
      </c>
      <c r="Z98" s="21">
        <f>(Z50*'Key_Assumptions_&amp;_Inputs'!$E$59)*Generation_Rates!Z34</f>
        <v>3675.4919181896926</v>
      </c>
      <c r="AA98" s="21">
        <f>(AA50*'Key_Assumptions_&amp;_Inputs'!$E$59)*Generation_Rates!AA34</f>
        <v>3756.5662885236602</v>
      </c>
      <c r="AB98" s="21">
        <f>(AB50*'Key_Assumptions_&amp;_Inputs'!$E$59)*Generation_Rates!AB34</f>
        <v>3839.3078266741427</v>
      </c>
      <c r="AC98" s="28">
        <f>(AC50*'Key_Assumptions_&amp;_Inputs'!$E$59)*Generation_Rates!AC34</f>
        <v>3923.7465696553691</v>
      </c>
    </row>
    <row r="99" spans="1:29" s="257" customFormat="1" x14ac:dyDescent="0.25">
      <c r="A99" s="26"/>
      <c r="C99" s="24" t="s">
        <v>55</v>
      </c>
      <c r="D99" s="240">
        <f>'Key_Assumptions_&amp;_Inputs'!$E$59*Generation_Rates!D51</f>
        <v>50951.600000000006</v>
      </c>
      <c r="E99" s="21">
        <f>(E51*'Key_Assumptions_&amp;_Inputs'!$E$59)*Generation_Rates!E35</f>
        <v>1832.8819068000005</v>
      </c>
      <c r="F99" s="21">
        <f>(F51*'Key_Assumptions_&amp;_Inputs'!$E$59)*Generation_Rates!F35</f>
        <v>1874.4168436899952</v>
      </c>
      <c r="G99" s="21">
        <f>(G51*'Key_Assumptions_&amp;_Inputs'!$E$59)*Generation_Rates!G35</f>
        <v>1916.8445986182226</v>
      </c>
      <c r="H99" s="21">
        <f>(H51*'Key_Assumptions_&amp;_Inputs'!$E$59)*Generation_Rates!H35</f>
        <v>1960.1827124069819</v>
      </c>
      <c r="I99" s="21">
        <f>(I51*'Key_Assumptions_&amp;_Inputs'!$E$59)*Generation_Rates!I35</f>
        <v>2004.4490111427999</v>
      </c>
      <c r="J99" s="21">
        <f>(J51*'Key_Assumptions_&amp;_Inputs'!$E$59)*Generation_Rates!J35</f>
        <v>2049.6616084808729</v>
      </c>
      <c r="K99" s="21">
        <f>(K51*'Key_Assumptions_&amp;_Inputs'!$E$59)*Generation_Rates!K35</f>
        <v>2095.8389078571713</v>
      </c>
      <c r="L99" s="21">
        <f>(L51*'Key_Assumptions_&amp;_Inputs'!$E$59)*Generation_Rates!L35</f>
        <v>2142.9996046012939</v>
      </c>
      <c r="M99" s="21">
        <f>(M51*'Key_Assumptions_&amp;_Inputs'!$E$59)*Generation_Rates!M35</f>
        <v>2191.1626879428409</v>
      </c>
      <c r="N99" s="21">
        <f>(N51*'Key_Assumptions_&amp;_Inputs'!$E$59)*Generation_Rates!N35</f>
        <v>2240.3474429037583</v>
      </c>
      <c r="O99" s="21">
        <f>(O51*'Key_Assumptions_&amp;_Inputs'!$E$59)*Generation_Rates!O35</f>
        <v>2290.5734520687524</v>
      </c>
      <c r="P99" s="21">
        <f>(P51*'Key_Assumptions_&amp;_Inputs'!$E$59)*Generation_Rates!P35</f>
        <v>2341.8605972255468</v>
      </c>
      <c r="Q99" s="21">
        <f>(Q51*'Key_Assumptions_&amp;_Inputs'!$E$59)*Generation_Rates!Q35</f>
        <v>2394.229060866362</v>
      </c>
      <c r="R99" s="21">
        <f>(R51*'Key_Assumptions_&amp;_Inputs'!$E$59)*Generation_Rates!R35</f>
        <v>2447.6993275416471</v>
      </c>
      <c r="S99" s="21">
        <f>(S51*'Key_Assumptions_&amp;_Inputs'!$E$59)*Generation_Rates!S35</f>
        <v>2502.2921850566772</v>
      </c>
      <c r="T99" s="21">
        <f>(T51*'Key_Assumptions_&amp;_Inputs'!$E$59)*Generation_Rates!T35</f>
        <v>2558.0287255012468</v>
      </c>
      <c r="U99" s="21">
        <f>(U51*'Key_Assumptions_&amp;_Inputs'!$E$59)*Generation_Rates!U35</f>
        <v>2614.9303461022346</v>
      </c>
      <c r="V99" s="21">
        <f>(V51*'Key_Assumptions_&amp;_Inputs'!$E$59)*Generation_Rates!V35</f>
        <v>2673.0187498884206</v>
      </c>
      <c r="W99" s="21">
        <f>(W51*'Key_Assumptions_&amp;_Inputs'!$E$59)*Generation_Rates!W35</f>
        <v>2732.3159461564369</v>
      </c>
      <c r="X99" s="21">
        <f>(X51*'Key_Assumptions_&amp;_Inputs'!$E$59)*Generation_Rates!X35</f>
        <v>2792.8442507262916</v>
      </c>
      <c r="Y99" s="21">
        <f>(Y51*'Key_Assumptions_&amp;_Inputs'!$E$59)*Generation_Rates!Y35</f>
        <v>2854.6262859744029</v>
      </c>
      <c r="Z99" s="21">
        <f>(Z51*'Key_Assumptions_&amp;_Inputs'!$E$59)*Generation_Rates!Z35</f>
        <v>2917.6849806315772</v>
      </c>
      <c r="AA99" s="21">
        <f>(AA51*'Key_Assumptions_&amp;_Inputs'!$E$59)*Generation_Rates!AA35</f>
        <v>2982.0435693328386</v>
      </c>
      <c r="AB99" s="21">
        <f>(AB51*'Key_Assumptions_&amp;_Inputs'!$E$59)*Generation_Rates!AB35</f>
        <v>3047.7255919054587</v>
      </c>
      <c r="AC99" s="28">
        <f>(AC51*'Key_Assumptions_&amp;_Inputs'!$E$59)*Generation_Rates!AC35</f>
        <v>3114.7548923809932</v>
      </c>
    </row>
    <row r="100" spans="1:29" s="257" customFormat="1" x14ac:dyDescent="0.25">
      <c r="A100" s="26"/>
      <c r="C100" s="24" t="s">
        <v>56</v>
      </c>
      <c r="D100" s="240">
        <f>'Key_Assumptions_&amp;_Inputs'!$E$59*Generation_Rates!D52</f>
        <v>31047.200000000001</v>
      </c>
      <c r="E100" s="21">
        <f>(E52*'Key_Assumptions_&amp;_Inputs'!$E$59)*Generation_Rates!E36</f>
        <v>1116.8609256000002</v>
      </c>
      <c r="F100" s="21">
        <f>(F52*'Key_Assumptions_&amp;_Inputs'!$E$59)*Generation_Rates!F36</f>
        <v>1142.1701110350218</v>
      </c>
      <c r="G100" s="21">
        <f>(G52*'Key_Assumptions_&amp;_Inputs'!$E$59)*Generation_Rates!G36</f>
        <v>1168.02333238249</v>
      </c>
      <c r="H100" s="21">
        <f>(H52*'Key_Assumptions_&amp;_Inputs'!$E$59)*Generation_Rates!H36</f>
        <v>1194.4312780882651</v>
      </c>
      <c r="I100" s="21">
        <f>(I52*'Key_Assumptions_&amp;_Inputs'!$E$59)*Generation_Rates!I36</f>
        <v>1221.4048104230828</v>
      </c>
      <c r="J100" s="21">
        <f>(J52*'Key_Assumptions_&amp;_Inputs'!$E$59)*Generation_Rates!J36</f>
        <v>1248.9549668867587</v>
      </c>
      <c r="K100" s="21">
        <f>(K52*'Key_Assumptions_&amp;_Inputs'!$E$59)*Generation_Rates!K36</f>
        <v>1277.0929615561274</v>
      </c>
      <c r="L100" s="21">
        <f>(L52*'Key_Assumptions_&amp;_Inputs'!$E$59)*Generation_Rates!L36</f>
        <v>1305.8301863725042</v>
      </c>
      <c r="M100" s="21">
        <f>(M52*'Key_Assumptions_&amp;_Inputs'!$E$59)*Generation_Rates!M36</f>
        <v>1335.1782123642629</v>
      </c>
      <c r="N100" s="21">
        <f>(N52*'Key_Assumptions_&amp;_Inputs'!$E$59)*Generation_Rates!N36</f>
        <v>1365.1487907999272</v>
      </c>
      <c r="O100" s="21">
        <f>(O52*'Key_Assumptions_&amp;_Inputs'!$E$59)*Generation_Rates!O36</f>
        <v>1395.7538542669704</v>
      </c>
      <c r="P100" s="21">
        <f>(P52*'Key_Assumptions_&amp;_Inputs'!$E$59)*Generation_Rates!P36</f>
        <v>1427.0055176712997</v>
      </c>
      <c r="Q100" s="21">
        <f>(Q52*'Key_Assumptions_&amp;_Inputs'!$E$59)*Generation_Rates!Q36</f>
        <v>1458.9160791521781</v>
      </c>
      <c r="R100" s="21">
        <f>(R52*'Key_Assumptions_&amp;_Inputs'!$E$59)*Generation_Rates!R36</f>
        <v>1491.4980209071161</v>
      </c>
      <c r="S100" s="21">
        <f>(S52*'Key_Assumptions_&amp;_Inputs'!$E$59)*Generation_Rates!S36</f>
        <v>1524.7640099210164</v>
      </c>
      <c r="T100" s="21">
        <f>(T52*'Key_Assumptions_&amp;_Inputs'!$E$59)*Generation_Rates!T36</f>
        <v>1558.7268985936123</v>
      </c>
      <c r="U100" s="21">
        <f>(U52*'Key_Assumptions_&amp;_Inputs'!$E$59)*Generation_Rates!U36</f>
        <v>1593.3997252589766</v>
      </c>
      <c r="V100" s="21">
        <f>(V52*'Key_Assumptions_&amp;_Inputs'!$E$59)*Generation_Rates!V36</f>
        <v>1628.7957145906264</v>
      </c>
      <c r="W100" s="21">
        <f>(W52*'Key_Assumptions_&amp;_Inputs'!$E$59)*Generation_Rates!W36</f>
        <v>1664.928277885447</v>
      </c>
      <c r="X100" s="21">
        <f>(X52*'Key_Assumptions_&amp;_Inputs'!$E$59)*Generation_Rates!X36</f>
        <v>1701.8110132193949</v>
      </c>
      <c r="Y100" s="21">
        <f>(Y52*'Key_Assumptions_&amp;_Inputs'!$E$59)*Generation_Rates!Y36</f>
        <v>1739.4577054676295</v>
      </c>
      <c r="Z100" s="21">
        <f>(Z52*'Key_Assumptions_&amp;_Inputs'!$E$59)*Generation_Rates!Z36</f>
        <v>1777.8823261814098</v>
      </c>
      <c r="AA100" s="21">
        <f>(AA52*'Key_Assumptions_&amp;_Inputs'!$E$59)*Generation_Rates!AA36</f>
        <v>1817.0990333137822</v>
      </c>
      <c r="AB100" s="21">
        <f>(AB52*'Key_Assumptions_&amp;_Inputs'!$E$59)*Generation_Rates!AB36</f>
        <v>1857.1221707857489</v>
      </c>
      <c r="AC100" s="28">
        <f>(AC52*'Key_Assumptions_&amp;_Inputs'!$E$59)*Generation_Rates!AC36</f>
        <v>1897.9662678842501</v>
      </c>
    </row>
    <row r="101" spans="1:29" s="257" customFormat="1" x14ac:dyDescent="0.25">
      <c r="A101" s="26"/>
      <c r="C101" s="32" t="s">
        <v>57</v>
      </c>
      <c r="D101" s="243">
        <f>'Key_Assumptions_&amp;_Inputs'!$E$59*Generation_Rates!D53</f>
        <v>27773.600000000002</v>
      </c>
      <c r="E101" s="22">
        <f>(E53*'Key_Assumptions_&amp;_Inputs'!$E$59)*Generation_Rates!E37</f>
        <v>999.09971280000025</v>
      </c>
      <c r="F101" s="22">
        <f>(F53*'Key_Assumptions_&amp;_Inputs'!$E$59)*Generation_Rates!F37</f>
        <v>1021.7403113917611</v>
      </c>
      <c r="G101" s="22">
        <f>(G53*'Key_Assumptions_&amp;_Inputs'!$E$59)*Generation_Rates!G37</f>
        <v>1044.8675830431835</v>
      </c>
      <c r="H101" s="22">
        <f>(H53*'Key_Assumptions_&amp;_Inputs'!$E$59)*Generation_Rates!H37</f>
        <v>1068.491089216169</v>
      </c>
      <c r="I101" s="22">
        <f>(I53*'Key_Assumptions_&amp;_Inputs'!$E$59)*Generation_Rates!I37</f>
        <v>1092.6205468694932</v>
      </c>
      <c r="J101" s="22">
        <f>(J53*'Key_Assumptions_&amp;_Inputs'!$E$59)*Generation_Rates!J37</f>
        <v>1117.2658297149526</v>
      </c>
      <c r="K101" s="22">
        <f>(K53*'Key_Assumptions_&amp;_Inputs'!$E$59)*Generation_Rates!K37</f>
        <v>1142.4369694231768</v>
      </c>
      <c r="L101" s="22">
        <f>(L53*'Key_Assumptions_&amp;_Inputs'!$E$59)*Generation_Rates!L37</f>
        <v>1168.1441567753416</v>
      </c>
      <c r="M101" s="22">
        <f>(M53*'Key_Assumptions_&amp;_Inputs'!$E$59)*Generation_Rates!M37</f>
        <v>1194.3977427568377</v>
      </c>
      <c r="N101" s="22">
        <f>(N53*'Key_Assumptions_&amp;_Inputs'!$E$59)*Generation_Rates!N37</f>
        <v>1221.2082395887826</v>
      </c>
      <c r="O101" s="22">
        <f>(O53*'Key_Assumptions_&amp;_Inputs'!$E$59)*Generation_Rates!O37</f>
        <v>1248.5863216930718</v>
      </c>
      <c r="P101" s="22">
        <f>(P53*'Key_Assumptions_&amp;_Inputs'!$E$59)*Generation_Rates!P37</f>
        <v>1276.5428265864748</v>
      </c>
      <c r="Q101" s="22">
        <f>(Q53*'Key_Assumptions_&amp;_Inputs'!$E$59)*Generation_Rates!Q37</f>
        <v>1305.0887556990947</v>
      </c>
      <c r="R101" s="22">
        <f>(R53*'Key_Assumptions_&amp;_Inputs'!$E$59)*Generation_Rates!R37</f>
        <v>1334.2352751122769</v>
      </c>
      <c r="S101" s="22">
        <f>(S53*'Key_Assumptions_&amp;_Inputs'!$E$59)*Generation_Rates!S37</f>
        <v>1363.9937162108772</v>
      </c>
      <c r="T101" s="22">
        <f>(T53*'Key_Assumptions_&amp;_Inputs'!$E$59)*Generation_Rates!T37</f>
        <v>1394.3755762445421</v>
      </c>
      <c r="U101" s="22">
        <f>(U53*'Key_Assumptions_&amp;_Inputs'!$E$59)*Generation_Rates!U37</f>
        <v>1425.3925187924424</v>
      </c>
      <c r="V101" s="22">
        <f>(V53*'Key_Assumptions_&amp;_Inputs'!$E$59)*Generation_Rates!V37</f>
        <v>1457.056374125661</v>
      </c>
      <c r="W101" s="22">
        <f>(W53*'Key_Assumptions_&amp;_Inputs'!$E$59)*Generation_Rates!W37</f>
        <v>1489.3791394611831</v>
      </c>
      <c r="X101" s="22">
        <f>(X53*'Key_Assumptions_&amp;_Inputs'!$E$59)*Generation_Rates!X37</f>
        <v>1522.372979101181</v>
      </c>
      <c r="Y101" s="22">
        <f>(Y53*'Key_Assumptions_&amp;_Inputs'!$E$59)*Generation_Rates!Y37</f>
        <v>1556.0502244510217</v>
      </c>
      <c r="Z101" s="22">
        <f>(Z53*'Key_Assumptions_&amp;_Inputs'!$E$59)*Generation_Rates!Z37</f>
        <v>1590.4233739091449</v>
      </c>
      <c r="AA101" s="22">
        <f>(AA53*'Key_Assumptions_&amp;_Inputs'!$E$59)*Generation_Rates!AA37</f>
        <v>1625.5050926216747</v>
      </c>
      <c r="AB101" s="22">
        <f>(AB53*'Key_Assumptions_&amp;_Inputs'!$E$59)*Generation_Rates!AB37</f>
        <v>1661.3082120943297</v>
      </c>
      <c r="AC101" s="29">
        <f>(AC53*'Key_Assumptions_&amp;_Inputs'!$E$59)*Generation_Rates!AC37</f>
        <v>1697.845729653882</v>
      </c>
    </row>
    <row r="102" spans="1:29" s="257" customFormat="1" ht="15.75" thickBot="1" x14ac:dyDescent="0.3">
      <c r="A102" s="27"/>
      <c r="C102" s="33" t="s">
        <v>61</v>
      </c>
      <c r="D102" s="244">
        <f>SUM(D90:D101)</f>
        <v>715764.39999999991</v>
      </c>
      <c r="E102" s="30">
        <f>SUM(E90:E101)</f>
        <v>25748.192761200011</v>
      </c>
      <c r="F102" s="30">
        <f t="shared" ref="F102:AC102" si="16">SUM(F90:F101)</f>
        <v>26331.672557361559</v>
      </c>
      <c r="G102" s="30">
        <f t="shared" si="16"/>
        <v>26927.694596896134</v>
      </c>
      <c r="H102" s="30">
        <f t="shared" si="16"/>
        <v>27536.505292009591</v>
      </c>
      <c r="I102" s="30">
        <f t="shared" si="16"/>
        <v>28158.355062279094</v>
      </c>
      <c r="J102" s="30">
        <f t="shared" si="16"/>
        <v>28793.498367025713</v>
      </c>
      <c r="K102" s="30">
        <f t="shared" si="16"/>
        <v>29442.193736389898</v>
      </c>
      <c r="L102" s="30">
        <f t="shared" si="16"/>
        <v>30104.703801012773</v>
      </c>
      <c r="M102" s="30">
        <f t="shared" si="16"/>
        <v>30781.295320221445</v>
      </c>
      <c r="N102" s="30">
        <f t="shared" si="16"/>
        <v>31472.239208612536</v>
      </c>
      <c r="O102" s="30">
        <f t="shared" si="16"/>
        <v>32177.810560922906</v>
      </c>
      <c r="P102" s="30">
        <f t="shared" si="16"/>
        <v>32898.28867507173</v>
      </c>
      <c r="Q102" s="30">
        <f t="shared" si="16"/>
        <v>33633.957073253347</v>
      </c>
      <c r="R102" s="30">
        <f t="shared" si="16"/>
        <v>34385.10352095421</v>
      </c>
      <c r="S102" s="30">
        <f t="shared" si="16"/>
        <v>35152.020043762743</v>
      </c>
      <c r="T102" s="30">
        <f t="shared" si="16"/>
        <v>35935.002941834297</v>
      </c>
      <c r="U102" s="30">
        <f t="shared" si="16"/>
        <v>36734.352801868008</v>
      </c>
      <c r="V102" s="30">
        <f t="shared" si="16"/>
        <v>37550.374506446031</v>
      </c>
      <c r="W102" s="30">
        <f t="shared" si="16"/>
        <v>38383.37724057919</v>
      </c>
      <c r="X102" s="30">
        <f t="shared" si="16"/>
        <v>39233.674495296589</v>
      </c>
      <c r="Y102" s="30">
        <f t="shared" si="16"/>
        <v>40101.584068109667</v>
      </c>
      <c r="Z102" s="30">
        <f t="shared" si="16"/>
        <v>40987.428060174221</v>
      </c>
      <c r="AA102" s="30">
        <f t="shared" si="16"/>
        <v>41891.532869966351</v>
      </c>
      <c r="AB102" s="30">
        <f t="shared" si="16"/>
        <v>42814.229183280906</v>
      </c>
      <c r="AC102" s="31">
        <f t="shared" si="16"/>
        <v>43755.851959352527</v>
      </c>
    </row>
    <row r="103" spans="1:29" s="257" customFormat="1" x14ac:dyDescent="0.25">
      <c r="D103" s="11"/>
    </row>
  </sheetData>
  <mergeCells count="4">
    <mergeCell ref="A11:A22"/>
    <mergeCell ref="C7:D7"/>
    <mergeCell ref="A1:F4"/>
    <mergeCell ref="A26:A3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AG179"/>
  <sheetViews>
    <sheetView showGridLines="0" topLeftCell="A40" zoomScale="85" zoomScaleNormal="85" workbookViewId="0">
      <pane xSplit="3" topLeftCell="D1" activePane="topRight" state="frozen"/>
      <selection pane="topRight" sqref="A1:D4"/>
    </sheetView>
  </sheetViews>
  <sheetFormatPr defaultColWidth="9.140625" defaultRowHeight="15" x14ac:dyDescent="0.25"/>
  <cols>
    <col min="1" max="1" width="16.42578125" style="70" customWidth="1"/>
    <col min="2" max="2" width="28.42578125" style="70" customWidth="1"/>
    <col min="3" max="3" width="44.5703125" style="70" bestFit="1" customWidth="1"/>
    <col min="4" max="4" width="17.85546875" style="71" customWidth="1"/>
    <col min="5" max="5" width="16.7109375" style="70" bestFit="1" customWidth="1"/>
    <col min="6" max="6" width="15.5703125" style="70" bestFit="1" customWidth="1"/>
    <col min="7" max="7" width="14.42578125" style="70" customWidth="1"/>
    <col min="8" max="8" width="14.5703125" style="70" bestFit="1" customWidth="1"/>
    <col min="9" max="9" width="14.140625" style="70" bestFit="1" customWidth="1"/>
    <col min="10" max="10" width="15.5703125" style="70" customWidth="1"/>
    <col min="11" max="11" width="14.140625" style="70" bestFit="1" customWidth="1"/>
    <col min="12" max="12" width="16.42578125" style="70" customWidth="1"/>
    <col min="13" max="16" width="14.5703125" style="70" bestFit="1" customWidth="1"/>
    <col min="17" max="20" width="14.140625" style="70" bestFit="1" customWidth="1"/>
    <col min="21" max="22" width="14.5703125" style="70" bestFit="1" customWidth="1"/>
    <col min="23" max="23" width="14.140625" style="70" bestFit="1" customWidth="1"/>
    <col min="24" max="24" width="14.5703125" style="70" bestFit="1" customWidth="1"/>
    <col min="25" max="30" width="15.5703125" style="70" bestFit="1" customWidth="1"/>
    <col min="31" max="31" width="15" style="70" bestFit="1" customWidth="1"/>
    <col min="32" max="32" width="9.140625" style="70"/>
    <col min="33" max="33" width="14.42578125" style="70" bestFit="1" customWidth="1"/>
    <col min="34" max="16384" width="9.140625" style="70"/>
  </cols>
  <sheetData>
    <row r="1" spans="1:30" ht="15" customHeight="1" x14ac:dyDescent="0.25">
      <c r="A1" s="776" t="s">
        <v>300</v>
      </c>
      <c r="B1" s="777"/>
      <c r="C1" s="777"/>
      <c r="D1" s="778"/>
    </row>
    <row r="2" spans="1:30" x14ac:dyDescent="0.25">
      <c r="A2" s="779"/>
      <c r="B2" s="780"/>
      <c r="C2" s="780"/>
      <c r="D2" s="781"/>
    </row>
    <row r="3" spans="1:30" x14ac:dyDescent="0.25">
      <c r="A3" s="779"/>
      <c r="B3" s="780"/>
      <c r="C3" s="780"/>
      <c r="D3" s="781"/>
    </row>
    <row r="4" spans="1:30" ht="15.75" thickBot="1" x14ac:dyDescent="0.3">
      <c r="A4" s="782"/>
      <c r="B4" s="783"/>
      <c r="C4" s="783"/>
      <c r="D4" s="784"/>
    </row>
    <row r="5" spans="1:30" thickBot="1" x14ac:dyDescent="0.35"/>
    <row r="6" spans="1:30" ht="14.45" x14ac:dyDescent="0.3">
      <c r="B6" s="72" t="s">
        <v>192</v>
      </c>
      <c r="C6" s="73" t="str">
        <f>'Key_Assumptions_&amp;_Inputs'!E11</f>
        <v>Panel Leasing</v>
      </c>
    </row>
    <row r="7" spans="1:30" thickBot="1" x14ac:dyDescent="0.35">
      <c r="B7" s="74" t="str">
        <f>'Key_Assumptions_&amp;_Inputs'!C12</f>
        <v>Monthly Residential Panel Lease Price:</v>
      </c>
      <c r="C7" s="249">
        <f>'Key_Assumptions_&amp;_Inputs'!E12</f>
        <v>1.38</v>
      </c>
    </row>
    <row r="8" spans="1:30" ht="14.45" x14ac:dyDescent="0.3">
      <c r="C8" s="425">
        <v>0.35115182770138631</v>
      </c>
    </row>
    <row r="9" spans="1:30" thickBot="1" x14ac:dyDescent="0.35">
      <c r="A9" s="1"/>
      <c r="F9" s="44"/>
      <c r="G9" s="45"/>
      <c r="H9" s="57"/>
      <c r="I9" s="75"/>
    </row>
    <row r="10" spans="1:30" s="64" customFormat="1" ht="14.25" customHeight="1" thickBot="1" x14ac:dyDescent="0.35">
      <c r="A10" s="15"/>
      <c r="B10" s="788" t="s">
        <v>92</v>
      </c>
      <c r="C10" s="789"/>
      <c r="D10" s="790"/>
      <c r="F10" s="43"/>
      <c r="G10" s="43"/>
    </row>
    <row r="11" spans="1:30" s="67" customFormat="1" ht="14.45" x14ac:dyDescent="0.3">
      <c r="B11" s="793" t="s">
        <v>72</v>
      </c>
      <c r="C11" s="794"/>
      <c r="D11" s="642"/>
      <c r="E11" s="121">
        <v>0</v>
      </c>
      <c r="F11" s="121">
        <v>1</v>
      </c>
      <c r="G11" s="122">
        <v>2</v>
      </c>
      <c r="H11" s="122">
        <v>3</v>
      </c>
      <c r="I11" s="121">
        <v>4</v>
      </c>
      <c r="J11" s="121">
        <v>5</v>
      </c>
      <c r="K11" s="121">
        <v>6</v>
      </c>
      <c r="L11" s="121">
        <v>7</v>
      </c>
      <c r="M11" s="121">
        <v>8</v>
      </c>
      <c r="N11" s="121">
        <v>9</v>
      </c>
      <c r="O11" s="121">
        <v>10</v>
      </c>
      <c r="P11" s="121">
        <v>11</v>
      </c>
      <c r="Q11" s="121">
        <v>12</v>
      </c>
      <c r="R11" s="121">
        <v>13</v>
      </c>
      <c r="S11" s="121">
        <v>14</v>
      </c>
      <c r="T11" s="121">
        <v>15</v>
      </c>
      <c r="U11" s="121">
        <v>16</v>
      </c>
      <c r="V11" s="121">
        <v>17</v>
      </c>
      <c r="W11" s="121">
        <v>18</v>
      </c>
      <c r="X11" s="121">
        <v>19</v>
      </c>
      <c r="Y11" s="121">
        <v>20</v>
      </c>
      <c r="Z11" s="121">
        <v>21</v>
      </c>
      <c r="AA11" s="121">
        <v>22</v>
      </c>
      <c r="AB11" s="121">
        <v>23</v>
      </c>
      <c r="AC11" s="121">
        <v>24</v>
      </c>
      <c r="AD11" s="123">
        <v>25</v>
      </c>
    </row>
    <row r="12" spans="1:30" s="67" customFormat="1" ht="14.45" x14ac:dyDescent="0.3">
      <c r="B12" s="795" t="s">
        <v>71</v>
      </c>
      <c r="C12" s="796"/>
      <c r="D12" s="643"/>
      <c r="E12" s="124"/>
      <c r="F12" s="124">
        <v>2018</v>
      </c>
      <c r="G12" s="125">
        <f t="shared" ref="G12:AD12" si="0">F12+1</f>
        <v>2019</v>
      </c>
      <c r="H12" s="125">
        <f t="shared" si="0"/>
        <v>2020</v>
      </c>
      <c r="I12" s="124">
        <f t="shared" si="0"/>
        <v>2021</v>
      </c>
      <c r="J12" s="124">
        <f t="shared" si="0"/>
        <v>2022</v>
      </c>
      <c r="K12" s="124">
        <f t="shared" si="0"/>
        <v>2023</v>
      </c>
      <c r="L12" s="124">
        <f t="shared" si="0"/>
        <v>2024</v>
      </c>
      <c r="M12" s="124">
        <f t="shared" si="0"/>
        <v>2025</v>
      </c>
      <c r="N12" s="124">
        <f t="shared" si="0"/>
        <v>2026</v>
      </c>
      <c r="O12" s="124">
        <f t="shared" si="0"/>
        <v>2027</v>
      </c>
      <c r="P12" s="124">
        <f t="shared" si="0"/>
        <v>2028</v>
      </c>
      <c r="Q12" s="124">
        <f t="shared" si="0"/>
        <v>2029</v>
      </c>
      <c r="R12" s="124">
        <f t="shared" si="0"/>
        <v>2030</v>
      </c>
      <c r="S12" s="124">
        <f t="shared" si="0"/>
        <v>2031</v>
      </c>
      <c r="T12" s="124">
        <f t="shared" si="0"/>
        <v>2032</v>
      </c>
      <c r="U12" s="124">
        <f t="shared" si="0"/>
        <v>2033</v>
      </c>
      <c r="V12" s="124">
        <f t="shared" si="0"/>
        <v>2034</v>
      </c>
      <c r="W12" s="124">
        <f t="shared" si="0"/>
        <v>2035</v>
      </c>
      <c r="X12" s="124">
        <f t="shared" si="0"/>
        <v>2036</v>
      </c>
      <c r="Y12" s="124">
        <f t="shared" si="0"/>
        <v>2037</v>
      </c>
      <c r="Z12" s="124">
        <f t="shared" si="0"/>
        <v>2038</v>
      </c>
      <c r="AA12" s="124">
        <f t="shared" si="0"/>
        <v>2039</v>
      </c>
      <c r="AB12" s="124">
        <f t="shared" si="0"/>
        <v>2040</v>
      </c>
      <c r="AC12" s="124">
        <f t="shared" si="0"/>
        <v>2041</v>
      </c>
      <c r="AD12" s="126">
        <f t="shared" si="0"/>
        <v>2042</v>
      </c>
    </row>
    <row r="13" spans="1:30" s="67" customFormat="1" ht="14.45" x14ac:dyDescent="0.3">
      <c r="B13" s="795" t="s">
        <v>69</v>
      </c>
      <c r="C13" s="796"/>
      <c r="D13" s="643"/>
      <c r="E13" s="76">
        <v>0</v>
      </c>
      <c r="F13" s="76">
        <f>IF(F11&lt;='Key_Assumptions_&amp;_Inputs'!$E$23,((1-'Key_Assumptions_&amp;_Inputs'!$E$59)*'Key_Assumptions_&amp;_Inputs'!$E$35/'Key_Assumptions_&amp;_Inputs'!$E$22)/'Key_Assumptions_&amp;_Inputs'!$E$23,0)</f>
        <v>136.45161290322579</v>
      </c>
      <c r="G13" s="76">
        <f>IF(G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H13" s="76">
        <f>IF(H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I13" s="76">
        <f>IF(I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J13" s="76">
        <f>IF(J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K13" s="76">
        <f>IF(K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L13" s="76">
        <f>IF(L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M13" s="76">
        <f>IF(M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N13" s="76">
        <f>IF(N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O13" s="76">
        <f>IF(O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P13" s="76">
        <f>IF(P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Q13" s="76">
        <f>IF(Q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R13" s="76">
        <f>IF(R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S13" s="76">
        <f>IF(S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T13" s="76">
        <f>IF(T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U13" s="76">
        <f>IF(U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V13" s="76">
        <f>IF(V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W13" s="76">
        <f>IF(W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X13" s="76">
        <f>IF(X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Y13" s="76">
        <f>IF(Y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Z13" s="76">
        <f>IF(Z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AA13" s="76">
        <f>IF(AA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AB13" s="76">
        <f>IF(AB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AC13" s="76">
        <f>IF(AC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c r="AD13" s="77">
        <f>IF(AD11&lt;='Key_Assumptions_&amp;_Inputs'!$E$23,((1-'Key_Assumptions_&amp;_Inputs'!$E$59)*'Key_Assumptions_&amp;_Inputs'!$E$35/'Key_Assumptions_&amp;_Inputs'!$E$22)/'Key_Assumptions_&amp;_Inputs'!$E$23,0)+'Key_Assumptions_&amp;_Inputs'!$E$60*((1-'Key_Assumptions_&amp;_Inputs'!$E$59)*'Key_Assumptions_&amp;_Inputs'!$E$35/'Key_Assumptions_&amp;_Inputs'!$E$22)</f>
        <v>2.0467741935483867</v>
      </c>
    </row>
    <row r="14" spans="1:30" s="67" customFormat="1" ht="14.45" x14ac:dyDescent="0.3">
      <c r="B14" s="795" t="s">
        <v>70</v>
      </c>
      <c r="C14" s="796"/>
      <c r="D14" s="643"/>
      <c r="E14" s="76">
        <v>0</v>
      </c>
      <c r="F14" s="78">
        <v>0</v>
      </c>
      <c r="G14" s="78">
        <f>('Key_Assumptions_&amp;_Inputs'!$E$60*(1-'Key_Assumptions_&amp;_Inputs'!$E$59)*('Key_Assumptions_&amp;_Inputs'!$E$35/'Key_Assumptions_&amp;_Inputs'!$E$22))</f>
        <v>2.0467741935483867</v>
      </c>
      <c r="H14" s="78">
        <f>('Key_Assumptions_&amp;_Inputs'!$E$60*(1-'Key_Assumptions_&amp;_Inputs'!$E$59)*('Key_Assumptions_&amp;_Inputs'!$E$35/'Key_Assumptions_&amp;_Inputs'!$E$22))</f>
        <v>2.0467741935483867</v>
      </c>
      <c r="I14" s="78">
        <f>('Key_Assumptions_&amp;_Inputs'!$E$60*(1-'Key_Assumptions_&amp;_Inputs'!$E$59)*('Key_Assumptions_&amp;_Inputs'!$E$35/'Key_Assumptions_&amp;_Inputs'!$E$22))</f>
        <v>2.0467741935483867</v>
      </c>
      <c r="J14" s="78">
        <f>('Key_Assumptions_&amp;_Inputs'!$E$60*(1-'Key_Assumptions_&amp;_Inputs'!$E$59)*('Key_Assumptions_&amp;_Inputs'!$E$35/'Key_Assumptions_&amp;_Inputs'!$E$22))</f>
        <v>2.0467741935483867</v>
      </c>
      <c r="K14" s="78">
        <f>('Key_Assumptions_&amp;_Inputs'!$E$60*(1-'Key_Assumptions_&amp;_Inputs'!$E$59)*('Key_Assumptions_&amp;_Inputs'!$E$35/'Key_Assumptions_&amp;_Inputs'!$E$22))</f>
        <v>2.0467741935483867</v>
      </c>
      <c r="L14" s="78">
        <f>('Key_Assumptions_&amp;_Inputs'!$E$60*(1-'Key_Assumptions_&amp;_Inputs'!$E$59)*('Key_Assumptions_&amp;_Inputs'!$E$35/'Key_Assumptions_&amp;_Inputs'!$E$22))</f>
        <v>2.0467741935483867</v>
      </c>
      <c r="M14" s="78">
        <f>('Key_Assumptions_&amp;_Inputs'!$E$60*(1-'Key_Assumptions_&amp;_Inputs'!$E$59)*('Key_Assumptions_&amp;_Inputs'!$E$35/'Key_Assumptions_&amp;_Inputs'!$E$22))</f>
        <v>2.0467741935483867</v>
      </c>
      <c r="N14" s="78">
        <f>('Key_Assumptions_&amp;_Inputs'!$E$60*(1-'Key_Assumptions_&amp;_Inputs'!$E$59)*('Key_Assumptions_&amp;_Inputs'!$E$35/'Key_Assumptions_&amp;_Inputs'!$E$22))</f>
        <v>2.0467741935483867</v>
      </c>
      <c r="O14" s="78">
        <f>('Key_Assumptions_&amp;_Inputs'!$E$60*(1-'Key_Assumptions_&amp;_Inputs'!$E$59)*('Key_Assumptions_&amp;_Inputs'!$E$35/'Key_Assumptions_&amp;_Inputs'!$E$22))</f>
        <v>2.0467741935483867</v>
      </c>
      <c r="P14" s="78">
        <f>('Key_Assumptions_&amp;_Inputs'!$E$60*(1-'Key_Assumptions_&amp;_Inputs'!$E$59)*('Key_Assumptions_&amp;_Inputs'!$E$35/'Key_Assumptions_&amp;_Inputs'!$E$22))</f>
        <v>2.0467741935483867</v>
      </c>
      <c r="Q14" s="78">
        <f>('Key_Assumptions_&amp;_Inputs'!$E$60*(1-'Key_Assumptions_&amp;_Inputs'!$E$59)*('Key_Assumptions_&amp;_Inputs'!$E$35/'Key_Assumptions_&amp;_Inputs'!$E$22))</f>
        <v>2.0467741935483867</v>
      </c>
      <c r="R14" s="78">
        <f>('Key_Assumptions_&amp;_Inputs'!$E$60*(1-'Key_Assumptions_&amp;_Inputs'!$E$59)*('Key_Assumptions_&amp;_Inputs'!$E$35/'Key_Assumptions_&amp;_Inputs'!$E$22))</f>
        <v>2.0467741935483867</v>
      </c>
      <c r="S14" s="78">
        <f>('Key_Assumptions_&amp;_Inputs'!$E$60*(1-'Key_Assumptions_&amp;_Inputs'!$E$59)*('Key_Assumptions_&amp;_Inputs'!$E$35/'Key_Assumptions_&amp;_Inputs'!$E$22))</f>
        <v>2.0467741935483867</v>
      </c>
      <c r="T14" s="78">
        <f>('Key_Assumptions_&amp;_Inputs'!$E$60*(1-'Key_Assumptions_&amp;_Inputs'!$E$59)*('Key_Assumptions_&amp;_Inputs'!$E$35/'Key_Assumptions_&amp;_Inputs'!$E$22))</f>
        <v>2.0467741935483867</v>
      </c>
      <c r="U14" s="78">
        <f>('Key_Assumptions_&amp;_Inputs'!$E$60*(1-'Key_Assumptions_&amp;_Inputs'!$E$59)*('Key_Assumptions_&amp;_Inputs'!$E$35/'Key_Assumptions_&amp;_Inputs'!$E$22))</f>
        <v>2.0467741935483867</v>
      </c>
      <c r="V14" s="78">
        <f>('Key_Assumptions_&amp;_Inputs'!$E$60*(1-'Key_Assumptions_&amp;_Inputs'!$E$59)*('Key_Assumptions_&amp;_Inputs'!$E$35/'Key_Assumptions_&amp;_Inputs'!$E$22))</f>
        <v>2.0467741935483867</v>
      </c>
      <c r="W14" s="78">
        <f>('Key_Assumptions_&amp;_Inputs'!$E$60*(1-'Key_Assumptions_&amp;_Inputs'!$E$59)*('Key_Assumptions_&amp;_Inputs'!$E$35/'Key_Assumptions_&amp;_Inputs'!$E$22))</f>
        <v>2.0467741935483867</v>
      </c>
      <c r="X14" s="78">
        <f>('Key_Assumptions_&amp;_Inputs'!$E$60*(1-'Key_Assumptions_&amp;_Inputs'!$E$59)*('Key_Assumptions_&amp;_Inputs'!$E$35/'Key_Assumptions_&amp;_Inputs'!$E$22))</f>
        <v>2.0467741935483867</v>
      </c>
      <c r="Y14" s="78">
        <f>('Key_Assumptions_&amp;_Inputs'!$E$60*(1-'Key_Assumptions_&amp;_Inputs'!$E$59)*('Key_Assumptions_&amp;_Inputs'!$E$35/'Key_Assumptions_&amp;_Inputs'!$E$22))</f>
        <v>2.0467741935483867</v>
      </c>
      <c r="Z14" s="78">
        <f>('Key_Assumptions_&amp;_Inputs'!$E$60*(1-'Key_Assumptions_&amp;_Inputs'!$E$59)*('Key_Assumptions_&amp;_Inputs'!$E$35/'Key_Assumptions_&amp;_Inputs'!$E$22))</f>
        <v>2.0467741935483867</v>
      </c>
      <c r="AA14" s="78">
        <f>('Key_Assumptions_&amp;_Inputs'!$E$60*(1-'Key_Assumptions_&amp;_Inputs'!$E$59)*('Key_Assumptions_&amp;_Inputs'!$E$35/'Key_Assumptions_&amp;_Inputs'!$E$22))</f>
        <v>2.0467741935483867</v>
      </c>
      <c r="AB14" s="78">
        <f>('Key_Assumptions_&amp;_Inputs'!$E$60*(1-'Key_Assumptions_&amp;_Inputs'!$E$59)*('Key_Assumptions_&amp;_Inputs'!$E$35/'Key_Assumptions_&amp;_Inputs'!$E$22))</f>
        <v>2.0467741935483867</v>
      </c>
      <c r="AC14" s="78">
        <f>('Key_Assumptions_&amp;_Inputs'!$E$60*(1-'Key_Assumptions_&amp;_Inputs'!$E$59)*('Key_Assumptions_&amp;_Inputs'!$E$35/'Key_Assumptions_&amp;_Inputs'!$E$22))</f>
        <v>2.0467741935483867</v>
      </c>
      <c r="AD14" s="79">
        <f>('Key_Assumptions_&amp;_Inputs'!$E$60*(1-'Key_Assumptions_&amp;_Inputs'!$E$59)*('Key_Assumptions_&amp;_Inputs'!$E$35/'Key_Assumptions_&amp;_Inputs'!$E$22))</f>
        <v>2.0467741935483867</v>
      </c>
    </row>
    <row r="15" spans="1:30" s="67" customFormat="1" thickBot="1" x14ac:dyDescent="0.35">
      <c r="B15" s="791" t="s">
        <v>324</v>
      </c>
      <c r="C15" s="792"/>
      <c r="D15" s="641"/>
      <c r="E15" s="80">
        <v>0</v>
      </c>
      <c r="F15" s="80">
        <f>F13-F14</f>
        <v>136.45161290322579</v>
      </c>
      <c r="G15" s="81">
        <f t="shared" ref="G15:AD15" si="1">F15+G13-G14</f>
        <v>136.45161290322579</v>
      </c>
      <c r="H15" s="81">
        <f t="shared" si="1"/>
        <v>136.45161290322579</v>
      </c>
      <c r="I15" s="81">
        <f t="shared" si="1"/>
        <v>136.45161290322579</v>
      </c>
      <c r="J15" s="81">
        <f t="shared" si="1"/>
        <v>136.45161290322579</v>
      </c>
      <c r="K15" s="81">
        <f t="shared" si="1"/>
        <v>136.45161290322579</v>
      </c>
      <c r="L15" s="81">
        <f t="shared" si="1"/>
        <v>136.45161290322579</v>
      </c>
      <c r="M15" s="81">
        <f t="shared" si="1"/>
        <v>136.45161290322579</v>
      </c>
      <c r="N15" s="81">
        <f t="shared" si="1"/>
        <v>136.45161290322579</v>
      </c>
      <c r="O15" s="81">
        <f t="shared" si="1"/>
        <v>136.45161290322579</v>
      </c>
      <c r="P15" s="81">
        <f t="shared" si="1"/>
        <v>136.45161290322579</v>
      </c>
      <c r="Q15" s="81">
        <f t="shared" si="1"/>
        <v>136.45161290322579</v>
      </c>
      <c r="R15" s="81">
        <f t="shared" si="1"/>
        <v>136.45161290322579</v>
      </c>
      <c r="S15" s="81">
        <f t="shared" si="1"/>
        <v>136.45161290322579</v>
      </c>
      <c r="T15" s="81">
        <f t="shared" si="1"/>
        <v>136.45161290322579</v>
      </c>
      <c r="U15" s="81">
        <f t="shared" si="1"/>
        <v>136.45161290322579</v>
      </c>
      <c r="V15" s="81">
        <f t="shared" si="1"/>
        <v>136.45161290322579</v>
      </c>
      <c r="W15" s="81">
        <f t="shared" si="1"/>
        <v>136.45161290322579</v>
      </c>
      <c r="X15" s="81">
        <f t="shared" si="1"/>
        <v>136.45161290322579</v>
      </c>
      <c r="Y15" s="81">
        <f t="shared" si="1"/>
        <v>136.45161290322579</v>
      </c>
      <c r="Z15" s="81">
        <f t="shared" si="1"/>
        <v>136.45161290322579</v>
      </c>
      <c r="AA15" s="81">
        <f t="shared" si="1"/>
        <v>136.45161290322579</v>
      </c>
      <c r="AB15" s="81">
        <f t="shared" si="1"/>
        <v>136.45161290322579</v>
      </c>
      <c r="AC15" s="81">
        <f t="shared" si="1"/>
        <v>136.45161290322579</v>
      </c>
      <c r="AD15" s="82">
        <f t="shared" si="1"/>
        <v>136.45161290322579</v>
      </c>
    </row>
    <row r="16" spans="1:30" s="64" customFormat="1" x14ac:dyDescent="0.25">
      <c r="F16" s="43"/>
      <c r="G16" s="43"/>
    </row>
    <row r="17" spans="1:33" ht="15.75" thickBot="1" x14ac:dyDescent="0.3">
      <c r="A17" s="1"/>
      <c r="E17" s="83"/>
      <c r="F17" s="83"/>
      <c r="G17" s="83"/>
      <c r="H17" s="4"/>
      <c r="I17" s="75"/>
    </row>
    <row r="18" spans="1:33" ht="15.75" thickBot="1" x14ac:dyDescent="0.3">
      <c r="A18" s="1"/>
      <c r="B18" s="788" t="s">
        <v>64</v>
      </c>
      <c r="C18" s="789"/>
      <c r="D18" s="790"/>
      <c r="E18" s="84"/>
    </row>
    <row r="19" spans="1:33" x14ac:dyDescent="0.25">
      <c r="B19" s="130"/>
      <c r="C19" s="131"/>
      <c r="D19" s="151" t="s">
        <v>24</v>
      </c>
      <c r="E19" s="127">
        <v>0</v>
      </c>
      <c r="F19" s="127">
        <v>1</v>
      </c>
      <c r="G19" s="127">
        <v>2</v>
      </c>
      <c r="H19" s="127">
        <v>3</v>
      </c>
      <c r="I19" s="127">
        <v>4</v>
      </c>
      <c r="J19" s="127">
        <v>5</v>
      </c>
      <c r="K19" s="127">
        <v>6</v>
      </c>
      <c r="L19" s="127">
        <v>7</v>
      </c>
      <c r="M19" s="127">
        <v>8</v>
      </c>
      <c r="N19" s="127">
        <v>9</v>
      </c>
      <c r="O19" s="127">
        <v>10</v>
      </c>
      <c r="P19" s="127">
        <v>11</v>
      </c>
      <c r="Q19" s="127">
        <v>12</v>
      </c>
      <c r="R19" s="127">
        <v>13</v>
      </c>
      <c r="S19" s="127">
        <v>14</v>
      </c>
      <c r="T19" s="127">
        <v>15</v>
      </c>
      <c r="U19" s="127">
        <v>16</v>
      </c>
      <c r="V19" s="127">
        <v>17</v>
      </c>
      <c r="W19" s="127">
        <v>18</v>
      </c>
      <c r="X19" s="127">
        <v>19</v>
      </c>
      <c r="Y19" s="127">
        <v>20</v>
      </c>
      <c r="Z19" s="127">
        <v>21</v>
      </c>
      <c r="AA19" s="127">
        <v>22</v>
      </c>
      <c r="AB19" s="127">
        <v>23</v>
      </c>
      <c r="AC19" s="127">
        <v>24</v>
      </c>
      <c r="AD19" s="127">
        <v>25</v>
      </c>
      <c r="AE19" s="128" t="s">
        <v>17</v>
      </c>
    </row>
    <row r="20" spans="1:33" ht="14.45" x14ac:dyDescent="0.3">
      <c r="B20" s="132"/>
      <c r="C20" s="133"/>
      <c r="D20" s="152" t="s">
        <v>25</v>
      </c>
      <c r="E20" s="124"/>
      <c r="F20" s="124">
        <v>2018</v>
      </c>
      <c r="G20" s="125">
        <f t="shared" ref="G20:AD20" si="2">F20+1</f>
        <v>2019</v>
      </c>
      <c r="H20" s="125">
        <f t="shared" si="2"/>
        <v>2020</v>
      </c>
      <c r="I20" s="124">
        <f t="shared" si="2"/>
        <v>2021</v>
      </c>
      <c r="J20" s="124">
        <f t="shared" si="2"/>
        <v>2022</v>
      </c>
      <c r="K20" s="124">
        <f t="shared" si="2"/>
        <v>2023</v>
      </c>
      <c r="L20" s="124">
        <f t="shared" si="2"/>
        <v>2024</v>
      </c>
      <c r="M20" s="124">
        <f t="shared" si="2"/>
        <v>2025</v>
      </c>
      <c r="N20" s="124">
        <f t="shared" si="2"/>
        <v>2026</v>
      </c>
      <c r="O20" s="124">
        <f t="shared" si="2"/>
        <v>2027</v>
      </c>
      <c r="P20" s="124">
        <f t="shared" si="2"/>
        <v>2028</v>
      </c>
      <c r="Q20" s="124">
        <f t="shared" si="2"/>
        <v>2029</v>
      </c>
      <c r="R20" s="124">
        <f t="shared" si="2"/>
        <v>2030</v>
      </c>
      <c r="S20" s="124">
        <f t="shared" si="2"/>
        <v>2031</v>
      </c>
      <c r="T20" s="124">
        <f t="shared" si="2"/>
        <v>2032</v>
      </c>
      <c r="U20" s="124">
        <f t="shared" si="2"/>
        <v>2033</v>
      </c>
      <c r="V20" s="124">
        <f t="shared" si="2"/>
        <v>2034</v>
      </c>
      <c r="W20" s="124">
        <f t="shared" si="2"/>
        <v>2035</v>
      </c>
      <c r="X20" s="124">
        <f t="shared" si="2"/>
        <v>2036</v>
      </c>
      <c r="Y20" s="124">
        <f t="shared" si="2"/>
        <v>2037</v>
      </c>
      <c r="Z20" s="124">
        <f t="shared" si="2"/>
        <v>2038</v>
      </c>
      <c r="AA20" s="124">
        <f t="shared" si="2"/>
        <v>2039</v>
      </c>
      <c r="AB20" s="124">
        <f t="shared" si="2"/>
        <v>2040</v>
      </c>
      <c r="AC20" s="124">
        <f t="shared" si="2"/>
        <v>2041</v>
      </c>
      <c r="AD20" s="126">
        <f t="shared" si="2"/>
        <v>2042</v>
      </c>
      <c r="AE20" s="129"/>
    </row>
    <row r="21" spans="1:33" x14ac:dyDescent="0.25">
      <c r="B21" s="134" t="s">
        <v>67</v>
      </c>
      <c r="C21" s="133"/>
      <c r="D21" s="87"/>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403"/>
      <c r="AE21" s="88"/>
    </row>
    <row r="22" spans="1:33" x14ac:dyDescent="0.25">
      <c r="B22" s="132" t="s">
        <v>41</v>
      </c>
      <c r="C22" s="133"/>
      <c r="D22" s="87" t="s">
        <v>0</v>
      </c>
      <c r="E22" s="167">
        <f>IF(Community_Solar_Business_Case!E19=0,-'Key_Assumptions_&amp;_Inputs'!$J$42-'Key_Assumptions_&amp;_Inputs'!$J$43*1000*'Key_Assumptions_&amp;_Inputs'!$E$18-'Key_Assumptions_&amp;_Inputs'!$J$44,-'Key_Assumptions_&amp;_Inputs'!$J$44)</f>
        <v>-6000</v>
      </c>
      <c r="F22" s="167">
        <f>IF(Community_Solar_Business_Case!F19=0,-'Key_Assumptions_&amp;_Inputs'!$J$42-'Key_Assumptions_&amp;_Inputs'!$J$43*1000*'Key_Assumptions_&amp;_Inputs'!$E$18-'Key_Assumptions_&amp;_Inputs'!$J$44,-'Key_Assumptions_&amp;_Inputs'!$J$44)</f>
        <v>-6000</v>
      </c>
      <c r="G22" s="167">
        <f>IF(Community_Solar_Business_Case!G19=0,-'Key_Assumptions_&amp;_Inputs'!$J$42-'Key_Assumptions_&amp;_Inputs'!$J$43*1000*'Key_Assumptions_&amp;_Inputs'!$E$18-'Key_Assumptions_&amp;_Inputs'!$J$44,-'Key_Assumptions_&amp;_Inputs'!$J$44)</f>
        <v>-6000</v>
      </c>
      <c r="H22" s="167">
        <f>IF(Community_Solar_Business_Case!H19=0,-'Key_Assumptions_&amp;_Inputs'!$J$42-'Key_Assumptions_&amp;_Inputs'!$J$43*1000*'Key_Assumptions_&amp;_Inputs'!$E$18-'Key_Assumptions_&amp;_Inputs'!$J$44,-'Key_Assumptions_&amp;_Inputs'!$J$44)</f>
        <v>-6000</v>
      </c>
      <c r="I22" s="167">
        <f>IF(Community_Solar_Business_Case!I19=0,-'Key_Assumptions_&amp;_Inputs'!$J$42-'Key_Assumptions_&amp;_Inputs'!$J$43*1000*'Key_Assumptions_&amp;_Inputs'!$E$18-'Key_Assumptions_&amp;_Inputs'!$J$44,-'Key_Assumptions_&amp;_Inputs'!$J$44)</f>
        <v>-6000</v>
      </c>
      <c r="J22" s="167">
        <f>IF(Community_Solar_Business_Case!J19=0,-'Key_Assumptions_&amp;_Inputs'!$J$42-'Key_Assumptions_&amp;_Inputs'!$J$43*1000*'Key_Assumptions_&amp;_Inputs'!$E$18-'Key_Assumptions_&amp;_Inputs'!$J$44,-'Key_Assumptions_&amp;_Inputs'!$J$44)</f>
        <v>-6000</v>
      </c>
      <c r="K22" s="167">
        <f>IF(Community_Solar_Business_Case!K19=0,-'Key_Assumptions_&amp;_Inputs'!$J$42-'Key_Assumptions_&amp;_Inputs'!$J$43*1000*'Key_Assumptions_&amp;_Inputs'!$E$18-'Key_Assumptions_&amp;_Inputs'!$J$44,-'Key_Assumptions_&amp;_Inputs'!$J$44)</f>
        <v>-6000</v>
      </c>
      <c r="L22" s="167">
        <f>IF(Community_Solar_Business_Case!L19=0,-'Key_Assumptions_&amp;_Inputs'!$J$42-'Key_Assumptions_&amp;_Inputs'!$J$43*1000*'Key_Assumptions_&amp;_Inputs'!$E$18-'Key_Assumptions_&amp;_Inputs'!$J$44,-'Key_Assumptions_&amp;_Inputs'!$J$44)</f>
        <v>-6000</v>
      </c>
      <c r="M22" s="167">
        <f>IF(Community_Solar_Business_Case!M19=0,-'Key_Assumptions_&amp;_Inputs'!$J$42-'Key_Assumptions_&amp;_Inputs'!$J$43*1000*'Key_Assumptions_&amp;_Inputs'!$E$18-'Key_Assumptions_&amp;_Inputs'!$J$44,-'Key_Assumptions_&amp;_Inputs'!$J$44)</f>
        <v>-6000</v>
      </c>
      <c r="N22" s="167">
        <f>IF(Community_Solar_Business_Case!N19=0,-'Key_Assumptions_&amp;_Inputs'!$J$42-'Key_Assumptions_&amp;_Inputs'!$J$43*1000*'Key_Assumptions_&amp;_Inputs'!$E$18-'Key_Assumptions_&amp;_Inputs'!$J$44,-'Key_Assumptions_&amp;_Inputs'!$J$44)</f>
        <v>-6000</v>
      </c>
      <c r="O22" s="167">
        <f>IF(Community_Solar_Business_Case!O19=0,-'Key_Assumptions_&amp;_Inputs'!$J$42-'Key_Assumptions_&amp;_Inputs'!$J$43*1000*'Key_Assumptions_&amp;_Inputs'!$E$18-'Key_Assumptions_&amp;_Inputs'!$J$44,-'Key_Assumptions_&amp;_Inputs'!$J$44)</f>
        <v>-6000</v>
      </c>
      <c r="P22" s="167">
        <f>IF(Community_Solar_Business_Case!P19=0,-'Key_Assumptions_&amp;_Inputs'!$J$42-'Key_Assumptions_&amp;_Inputs'!$J$43*1000*'Key_Assumptions_&amp;_Inputs'!$E$18-'Key_Assumptions_&amp;_Inputs'!$J$44,-'Key_Assumptions_&amp;_Inputs'!$J$44)</f>
        <v>-6000</v>
      </c>
      <c r="Q22" s="167">
        <f>IF(Community_Solar_Business_Case!Q19=0,-'Key_Assumptions_&amp;_Inputs'!$J$42-'Key_Assumptions_&amp;_Inputs'!$J$43*1000*'Key_Assumptions_&amp;_Inputs'!$E$18-'Key_Assumptions_&amp;_Inputs'!$J$44,-'Key_Assumptions_&amp;_Inputs'!$J$44)</f>
        <v>-6000</v>
      </c>
      <c r="R22" s="167">
        <f>IF(Community_Solar_Business_Case!R19=0,-'Key_Assumptions_&amp;_Inputs'!$J$42-'Key_Assumptions_&amp;_Inputs'!$J$43*1000*'Key_Assumptions_&amp;_Inputs'!$E$18-'Key_Assumptions_&amp;_Inputs'!$J$44,-'Key_Assumptions_&amp;_Inputs'!$J$44)</f>
        <v>-6000</v>
      </c>
      <c r="S22" s="167">
        <f>IF(Community_Solar_Business_Case!S19=0,-'Key_Assumptions_&amp;_Inputs'!$J$42-'Key_Assumptions_&amp;_Inputs'!$J$43*1000*'Key_Assumptions_&amp;_Inputs'!$E$18-'Key_Assumptions_&amp;_Inputs'!$J$44,-'Key_Assumptions_&amp;_Inputs'!$J$44)</f>
        <v>-6000</v>
      </c>
      <c r="T22" s="167">
        <f>IF(Community_Solar_Business_Case!T19=0,-'Key_Assumptions_&amp;_Inputs'!$J$42-'Key_Assumptions_&amp;_Inputs'!$J$43*1000*'Key_Assumptions_&amp;_Inputs'!$E$18-'Key_Assumptions_&amp;_Inputs'!$J$44,-'Key_Assumptions_&amp;_Inputs'!$J$44)</f>
        <v>-6000</v>
      </c>
      <c r="U22" s="167">
        <f>IF(Community_Solar_Business_Case!U19=0,-'Key_Assumptions_&amp;_Inputs'!$J$42-'Key_Assumptions_&amp;_Inputs'!$J$43*1000*'Key_Assumptions_&amp;_Inputs'!$E$18-'Key_Assumptions_&amp;_Inputs'!$J$44,-'Key_Assumptions_&amp;_Inputs'!$J$44)</f>
        <v>-6000</v>
      </c>
      <c r="V22" s="167">
        <f>IF(Community_Solar_Business_Case!V19=0,-'Key_Assumptions_&amp;_Inputs'!$J$42-'Key_Assumptions_&amp;_Inputs'!$J$43*1000*'Key_Assumptions_&amp;_Inputs'!$E$18-'Key_Assumptions_&amp;_Inputs'!$J$44,-'Key_Assumptions_&amp;_Inputs'!$J$44)</f>
        <v>-6000</v>
      </c>
      <c r="W22" s="167">
        <f>IF(Community_Solar_Business_Case!W19=0,-'Key_Assumptions_&amp;_Inputs'!$J$42-'Key_Assumptions_&amp;_Inputs'!$J$43*1000*'Key_Assumptions_&amp;_Inputs'!$E$18-'Key_Assumptions_&amp;_Inputs'!$J$44,-'Key_Assumptions_&amp;_Inputs'!$J$44)</f>
        <v>-6000</v>
      </c>
      <c r="X22" s="167">
        <f>IF(Community_Solar_Business_Case!X19=0,-'Key_Assumptions_&amp;_Inputs'!$J$42-'Key_Assumptions_&amp;_Inputs'!$J$43*1000*'Key_Assumptions_&amp;_Inputs'!$E$18-'Key_Assumptions_&amp;_Inputs'!$J$44,-'Key_Assumptions_&amp;_Inputs'!$J$44)</f>
        <v>-6000</v>
      </c>
      <c r="Y22" s="167">
        <f>IF(Community_Solar_Business_Case!Y19=0,-'Key_Assumptions_&amp;_Inputs'!$J$42-'Key_Assumptions_&amp;_Inputs'!$J$43*1000*'Key_Assumptions_&amp;_Inputs'!$E$18-'Key_Assumptions_&amp;_Inputs'!$J$44,-'Key_Assumptions_&amp;_Inputs'!$J$44)</f>
        <v>-6000</v>
      </c>
      <c r="Z22" s="167">
        <f>IF(Community_Solar_Business_Case!Z19=0,-'Key_Assumptions_&amp;_Inputs'!$J$42-'Key_Assumptions_&amp;_Inputs'!$J$43*1000*'Key_Assumptions_&amp;_Inputs'!$E$18-'Key_Assumptions_&amp;_Inputs'!$J$44,-'Key_Assumptions_&amp;_Inputs'!$J$44)</f>
        <v>-6000</v>
      </c>
      <c r="AA22" s="167">
        <f>IF(Community_Solar_Business_Case!AA19=0,-'Key_Assumptions_&amp;_Inputs'!$J$42-'Key_Assumptions_&amp;_Inputs'!$J$43*1000*'Key_Assumptions_&amp;_Inputs'!$E$18-'Key_Assumptions_&amp;_Inputs'!$J$44,-'Key_Assumptions_&amp;_Inputs'!$J$44)</f>
        <v>-6000</v>
      </c>
      <c r="AB22" s="167">
        <f>IF(Community_Solar_Business_Case!AB19=0,-'Key_Assumptions_&amp;_Inputs'!$J$42-'Key_Assumptions_&amp;_Inputs'!$J$43*1000*'Key_Assumptions_&amp;_Inputs'!$E$18-'Key_Assumptions_&amp;_Inputs'!$J$44,-'Key_Assumptions_&amp;_Inputs'!$J$44)</f>
        <v>-6000</v>
      </c>
      <c r="AC22" s="167">
        <f>IF(Community_Solar_Business_Case!AC19=0,-'Key_Assumptions_&amp;_Inputs'!$J$42-'Key_Assumptions_&amp;_Inputs'!$J$43*1000*'Key_Assumptions_&amp;_Inputs'!$E$18-'Key_Assumptions_&amp;_Inputs'!$J$44,-'Key_Assumptions_&amp;_Inputs'!$J$44)</f>
        <v>-6000</v>
      </c>
      <c r="AD22" s="175">
        <f>IF(Community_Solar_Business_Case!AD19=0,-'Key_Assumptions_&amp;_Inputs'!$J$42-'Key_Assumptions_&amp;_Inputs'!$J$43*1000*'Key_Assumptions_&amp;_Inputs'!$E$18-'Key_Assumptions_&amp;_Inputs'!$J$44,-'Key_Assumptions_&amp;_Inputs'!$J$44)</f>
        <v>-6000</v>
      </c>
      <c r="AE22" s="179">
        <f>SUM(E22:AD22)</f>
        <v>-156000</v>
      </c>
    </row>
    <row r="23" spans="1:33" x14ac:dyDescent="0.25">
      <c r="B23" s="132" t="s">
        <v>43</v>
      </c>
      <c r="C23" s="133"/>
      <c r="D23" s="89" t="s">
        <v>0</v>
      </c>
      <c r="E23" s="168">
        <f>IF(E19=0,-'Key_Assumptions_&amp;_Inputs'!$J$39*1000*'Key_Assumptions_&amp;_Inputs'!$E$18,0)</f>
        <v>-2509800.0000000005</v>
      </c>
      <c r="F23" s="168">
        <f>IF(F19=0,-'Key_Assumptions_&amp;_Inputs'!$J$39*1000*'Key_Assumptions_&amp;_Inputs'!$E$18,0)</f>
        <v>0</v>
      </c>
      <c r="G23" s="168">
        <f>IF(G19=0,-'Key_Assumptions_&amp;_Inputs'!$J$39*1000*'Key_Assumptions_&amp;_Inputs'!$E$18,0)</f>
        <v>0</v>
      </c>
      <c r="H23" s="168">
        <f>IF(H19=0,-'Key_Assumptions_&amp;_Inputs'!$J$39*1000*'Key_Assumptions_&amp;_Inputs'!$E$18,0)</f>
        <v>0</v>
      </c>
      <c r="I23" s="168">
        <f>IF(I19=0,-'Key_Assumptions_&amp;_Inputs'!$J$39*1000*'Key_Assumptions_&amp;_Inputs'!$E$18,0)</f>
        <v>0</v>
      </c>
      <c r="J23" s="168">
        <f>IF(J19=0,-'Key_Assumptions_&amp;_Inputs'!$J$39*1000*'Key_Assumptions_&amp;_Inputs'!$E$18,0)</f>
        <v>0</v>
      </c>
      <c r="K23" s="168">
        <f>IF(K19=0,-'Key_Assumptions_&amp;_Inputs'!$J$39*1000*'Key_Assumptions_&amp;_Inputs'!$E$18,0)</f>
        <v>0</v>
      </c>
      <c r="L23" s="168">
        <f>IF(L19=0,-'Key_Assumptions_&amp;_Inputs'!$J$39*1000*'Key_Assumptions_&amp;_Inputs'!$E$18,0)</f>
        <v>0</v>
      </c>
      <c r="M23" s="168">
        <f>IF(M19=0,-'Key_Assumptions_&amp;_Inputs'!$J$39*1000*'Key_Assumptions_&amp;_Inputs'!$E$18,0)</f>
        <v>0</v>
      </c>
      <c r="N23" s="168">
        <f>IF(N19=0,-'Key_Assumptions_&amp;_Inputs'!$J$39*1000*'Key_Assumptions_&amp;_Inputs'!$E$18,0)</f>
        <v>0</v>
      </c>
      <c r="O23" s="168">
        <f>IF(O19=0,-'Key_Assumptions_&amp;_Inputs'!$J$39*1000*'Key_Assumptions_&amp;_Inputs'!$E$18,0)</f>
        <v>0</v>
      </c>
      <c r="P23" s="168">
        <f>IF(P19=0,-'Key_Assumptions_&amp;_Inputs'!$J$39*1000*'Key_Assumptions_&amp;_Inputs'!$E$18,0)</f>
        <v>0</v>
      </c>
      <c r="Q23" s="168">
        <f>IF(Q19=0,-'Key_Assumptions_&amp;_Inputs'!$J$39*1000*'Key_Assumptions_&amp;_Inputs'!$E$18,0)</f>
        <v>0</v>
      </c>
      <c r="R23" s="168">
        <f>IF(R19=0,-'Key_Assumptions_&amp;_Inputs'!$J$39*1000*'Key_Assumptions_&amp;_Inputs'!$E$18,0)</f>
        <v>0</v>
      </c>
      <c r="S23" s="168">
        <f>IF(S19=0,-'Key_Assumptions_&amp;_Inputs'!$J$39*1000*'Key_Assumptions_&amp;_Inputs'!$E$18,0)</f>
        <v>0</v>
      </c>
      <c r="T23" s="168">
        <f>IF(T19=0,-'Key_Assumptions_&amp;_Inputs'!$J$39*1000*'Key_Assumptions_&amp;_Inputs'!$E$18,0)</f>
        <v>0</v>
      </c>
      <c r="U23" s="168">
        <f>IF(U19=0,-'Key_Assumptions_&amp;_Inputs'!$J$39*1000*'Key_Assumptions_&amp;_Inputs'!$E$18,0)</f>
        <v>0</v>
      </c>
      <c r="V23" s="168">
        <f>IF(V19=0,-'Key_Assumptions_&amp;_Inputs'!$J$39*1000*'Key_Assumptions_&amp;_Inputs'!$E$18,0)</f>
        <v>0</v>
      </c>
      <c r="W23" s="168">
        <f>IF(W19=0,-'Key_Assumptions_&amp;_Inputs'!$J$39*1000*'Key_Assumptions_&amp;_Inputs'!$E$18,0)</f>
        <v>0</v>
      </c>
      <c r="X23" s="168">
        <f>IF(X19=0,-'Key_Assumptions_&amp;_Inputs'!$J$39*1000*'Key_Assumptions_&amp;_Inputs'!$E$18,0)</f>
        <v>0</v>
      </c>
      <c r="Y23" s="168">
        <f>IF(Y19=0,-'Key_Assumptions_&amp;_Inputs'!$J$39*1000*'Key_Assumptions_&amp;_Inputs'!$E$18,0)</f>
        <v>0</v>
      </c>
      <c r="Z23" s="168">
        <f>IF(Z19=0,-'Key_Assumptions_&amp;_Inputs'!$J$39*1000*'Key_Assumptions_&amp;_Inputs'!$E$18,0)</f>
        <v>0</v>
      </c>
      <c r="AA23" s="168">
        <f>IF(AA19=0,-'Key_Assumptions_&amp;_Inputs'!$J$39*1000*'Key_Assumptions_&amp;_Inputs'!$E$18,0)</f>
        <v>0</v>
      </c>
      <c r="AB23" s="168">
        <f>IF(AB19=0,-'Key_Assumptions_&amp;_Inputs'!$J$39*1000*'Key_Assumptions_&amp;_Inputs'!$E$18,0)</f>
        <v>0</v>
      </c>
      <c r="AC23" s="168">
        <f>IF(AC19=0,-'Key_Assumptions_&amp;_Inputs'!$J$39*1000*'Key_Assumptions_&amp;_Inputs'!$E$18,0)</f>
        <v>0</v>
      </c>
      <c r="AD23" s="176">
        <f>IF(AD19=0,-'Key_Assumptions_&amp;_Inputs'!$J$39*1000*'Key_Assumptions_&amp;_Inputs'!$E$18,0)</f>
        <v>0</v>
      </c>
      <c r="AE23" s="180">
        <f>SUM(E23:AD23)</f>
        <v>-2509800.0000000005</v>
      </c>
    </row>
    <row r="24" spans="1:33" s="64" customFormat="1" x14ac:dyDescent="0.25">
      <c r="B24" s="135" t="s">
        <v>7</v>
      </c>
      <c r="C24" s="136"/>
      <c r="D24" s="91" t="s">
        <v>0</v>
      </c>
      <c r="E24" s="169">
        <f t="shared" ref="E24:AD24" si="3">SUM(E22:E23)</f>
        <v>-2515800.0000000005</v>
      </c>
      <c r="F24" s="169">
        <f t="shared" si="3"/>
        <v>-6000</v>
      </c>
      <c r="G24" s="169">
        <f t="shared" si="3"/>
        <v>-6000</v>
      </c>
      <c r="H24" s="169">
        <f t="shared" si="3"/>
        <v>-6000</v>
      </c>
      <c r="I24" s="169">
        <f t="shared" si="3"/>
        <v>-6000</v>
      </c>
      <c r="J24" s="169">
        <f t="shared" si="3"/>
        <v>-6000</v>
      </c>
      <c r="K24" s="169">
        <f t="shared" si="3"/>
        <v>-6000</v>
      </c>
      <c r="L24" s="169">
        <f t="shared" si="3"/>
        <v>-6000</v>
      </c>
      <c r="M24" s="169">
        <f t="shared" si="3"/>
        <v>-6000</v>
      </c>
      <c r="N24" s="169">
        <f t="shared" si="3"/>
        <v>-6000</v>
      </c>
      <c r="O24" s="169">
        <f t="shared" si="3"/>
        <v>-6000</v>
      </c>
      <c r="P24" s="169">
        <f t="shared" si="3"/>
        <v>-6000</v>
      </c>
      <c r="Q24" s="169">
        <f t="shared" si="3"/>
        <v>-6000</v>
      </c>
      <c r="R24" s="169">
        <f t="shared" si="3"/>
        <v>-6000</v>
      </c>
      <c r="S24" s="169">
        <f t="shared" si="3"/>
        <v>-6000</v>
      </c>
      <c r="T24" s="169">
        <f t="shared" si="3"/>
        <v>-6000</v>
      </c>
      <c r="U24" s="169">
        <f t="shared" si="3"/>
        <v>-6000</v>
      </c>
      <c r="V24" s="169">
        <f t="shared" si="3"/>
        <v>-6000</v>
      </c>
      <c r="W24" s="169">
        <f t="shared" si="3"/>
        <v>-6000</v>
      </c>
      <c r="X24" s="169">
        <f t="shared" si="3"/>
        <v>-6000</v>
      </c>
      <c r="Y24" s="169">
        <f t="shared" si="3"/>
        <v>-6000</v>
      </c>
      <c r="Z24" s="169">
        <f t="shared" si="3"/>
        <v>-6000</v>
      </c>
      <c r="AA24" s="169">
        <f t="shared" si="3"/>
        <v>-6000</v>
      </c>
      <c r="AB24" s="169">
        <f t="shared" si="3"/>
        <v>-6000</v>
      </c>
      <c r="AC24" s="169">
        <f t="shared" si="3"/>
        <v>-6000</v>
      </c>
      <c r="AD24" s="404">
        <f t="shared" si="3"/>
        <v>-6000</v>
      </c>
      <c r="AE24" s="181">
        <f>SUM(E24:AD24)</f>
        <v>-2665800.0000000005</v>
      </c>
      <c r="AG24" s="92"/>
    </row>
    <row r="25" spans="1:33" x14ac:dyDescent="0.25">
      <c r="B25" s="132"/>
      <c r="C25" s="133"/>
      <c r="D25" s="89"/>
      <c r="E25" s="105"/>
      <c r="F25" s="170"/>
      <c r="G25" s="170"/>
      <c r="H25" s="170"/>
      <c r="I25" s="170"/>
      <c r="J25" s="170"/>
      <c r="K25" s="170"/>
      <c r="L25" s="170"/>
      <c r="M25" s="170"/>
      <c r="N25" s="170"/>
      <c r="O25" s="170"/>
      <c r="P25" s="170"/>
      <c r="Q25" s="170"/>
      <c r="R25" s="170"/>
      <c r="S25" s="170"/>
      <c r="T25" s="170"/>
      <c r="U25" s="170"/>
      <c r="V25" s="170"/>
      <c r="W25" s="170"/>
      <c r="X25" s="170"/>
      <c r="Y25" s="171"/>
      <c r="Z25" s="171"/>
      <c r="AA25" s="171"/>
      <c r="AB25" s="171"/>
      <c r="AC25" s="171"/>
      <c r="AD25" s="172"/>
      <c r="AE25" s="182"/>
    </row>
    <row r="26" spans="1:33" x14ac:dyDescent="0.25">
      <c r="B26" s="134" t="s">
        <v>118</v>
      </c>
      <c r="C26" s="133"/>
      <c r="D26" s="89"/>
      <c r="E26" s="105"/>
      <c r="F26" s="173"/>
      <c r="G26" s="170"/>
      <c r="H26" s="170"/>
      <c r="I26" s="170"/>
      <c r="J26" s="170"/>
      <c r="K26" s="170"/>
      <c r="L26" s="170"/>
      <c r="M26" s="170"/>
      <c r="N26" s="170"/>
      <c r="O26" s="170"/>
      <c r="P26" s="170"/>
      <c r="Q26" s="170"/>
      <c r="R26" s="170"/>
      <c r="S26" s="170"/>
      <c r="T26" s="170"/>
      <c r="U26" s="170"/>
      <c r="V26" s="170"/>
      <c r="W26" s="170"/>
      <c r="X26" s="170"/>
      <c r="Y26" s="171"/>
      <c r="Z26" s="171"/>
      <c r="AA26" s="171"/>
      <c r="AB26" s="171"/>
      <c r="AC26" s="171"/>
      <c r="AD26" s="172"/>
      <c r="AE26" s="182"/>
    </row>
    <row r="27" spans="1:33" x14ac:dyDescent="0.25">
      <c r="B27" s="137" t="s">
        <v>201</v>
      </c>
      <c r="C27" s="133"/>
      <c r="D27" s="89"/>
      <c r="E27" s="105">
        <f>IF(E19=0,-'Key_Assumptions_&amp;_Inputs'!$D$73*SUM(Community_Solar_Business_Case!$E$22:$E$23),0)</f>
        <v>0</v>
      </c>
      <c r="F27" s="105">
        <f>IF(F19=0,-'Key_Assumptions_&amp;_Inputs'!$D$73*SUM(Community_Solar_Business_Case!$E$22:$E$23),0)</f>
        <v>0</v>
      </c>
      <c r="G27" s="105">
        <f>IF(G19=0,-'Key_Assumptions_&amp;_Inputs'!$D$73*SUM(Community_Solar_Business_Case!$E$22:$E$23),0)</f>
        <v>0</v>
      </c>
      <c r="H27" s="105">
        <f>IF(H19=0,-'Key_Assumptions_&amp;_Inputs'!$D$73*SUM(Community_Solar_Business_Case!$E$22:$E$23),0)</f>
        <v>0</v>
      </c>
      <c r="I27" s="105">
        <f>IF(I19=0,-'Key_Assumptions_&amp;_Inputs'!$D$73*SUM(Community_Solar_Business_Case!$E$22:$E$23),0)</f>
        <v>0</v>
      </c>
      <c r="J27" s="105">
        <f>IF(J19=0,-'Key_Assumptions_&amp;_Inputs'!$D$73*SUM(Community_Solar_Business_Case!$E$22:$E$23),0)</f>
        <v>0</v>
      </c>
      <c r="K27" s="105">
        <f>IF(K19=0,-'Key_Assumptions_&amp;_Inputs'!$D$73*SUM(Community_Solar_Business_Case!$E$22:$E$23),0)</f>
        <v>0</v>
      </c>
      <c r="L27" s="105">
        <f>IF(L19=0,-'Key_Assumptions_&amp;_Inputs'!$D$73*SUM(Community_Solar_Business_Case!$E$22:$E$23),0)</f>
        <v>0</v>
      </c>
      <c r="M27" s="105">
        <f>IF(M19=0,-'Key_Assumptions_&amp;_Inputs'!$D$73*SUM(Community_Solar_Business_Case!$E$22:$E$23),0)</f>
        <v>0</v>
      </c>
      <c r="N27" s="105">
        <f>IF(N19=0,-'Key_Assumptions_&amp;_Inputs'!$D$73*SUM(Community_Solar_Business_Case!$E$22:$E$23),0)</f>
        <v>0</v>
      </c>
      <c r="O27" s="105">
        <f>IF(O19=0,-'Key_Assumptions_&amp;_Inputs'!$D$73*SUM(Community_Solar_Business_Case!$E$22:$E$23),0)</f>
        <v>0</v>
      </c>
      <c r="P27" s="105">
        <f>IF(P19=0,-'Key_Assumptions_&amp;_Inputs'!$D$73*SUM(Community_Solar_Business_Case!$E$22:$E$23),0)</f>
        <v>0</v>
      </c>
      <c r="Q27" s="105">
        <f>IF(Q19=0,-'Key_Assumptions_&amp;_Inputs'!$D$73*SUM(Community_Solar_Business_Case!$E$22:$E$23),0)</f>
        <v>0</v>
      </c>
      <c r="R27" s="105">
        <f>IF(R19=0,-'Key_Assumptions_&amp;_Inputs'!$D$73*SUM(Community_Solar_Business_Case!$E$22:$E$23),0)</f>
        <v>0</v>
      </c>
      <c r="S27" s="105">
        <f>IF(S19=0,-'Key_Assumptions_&amp;_Inputs'!$D$73*SUM(Community_Solar_Business_Case!$E$22:$E$23),0)</f>
        <v>0</v>
      </c>
      <c r="T27" s="105">
        <f>IF(T19=0,-'Key_Assumptions_&amp;_Inputs'!$D$73*SUM(Community_Solar_Business_Case!$E$22:$E$23),0)</f>
        <v>0</v>
      </c>
      <c r="U27" s="105">
        <f>IF(U19=0,-'Key_Assumptions_&amp;_Inputs'!$D$73*SUM(Community_Solar_Business_Case!$E$22:$E$23),0)</f>
        <v>0</v>
      </c>
      <c r="V27" s="105">
        <f>IF(V19=0,-'Key_Assumptions_&amp;_Inputs'!$D$73*SUM(Community_Solar_Business_Case!$E$22:$E$23),0)</f>
        <v>0</v>
      </c>
      <c r="W27" s="105">
        <f>IF(W19=0,-'Key_Assumptions_&amp;_Inputs'!$D$73*SUM(Community_Solar_Business_Case!$E$22:$E$23),0)</f>
        <v>0</v>
      </c>
      <c r="X27" s="105">
        <f>IF(X19=0,-'Key_Assumptions_&amp;_Inputs'!$D$73*SUM(Community_Solar_Business_Case!$E$22:$E$23),0)</f>
        <v>0</v>
      </c>
      <c r="Y27" s="105">
        <f>IF(Y19=0,-'Key_Assumptions_&amp;_Inputs'!$D$73*SUM(Community_Solar_Business_Case!$E$22:$E$23),0)</f>
        <v>0</v>
      </c>
      <c r="Z27" s="105">
        <f>IF(Z19=0,-'Key_Assumptions_&amp;_Inputs'!$D$73*SUM(Community_Solar_Business_Case!$E$22:$E$23),0)</f>
        <v>0</v>
      </c>
      <c r="AA27" s="105">
        <f>IF(AA19=0,-'Key_Assumptions_&amp;_Inputs'!$D$73*SUM(Community_Solar_Business_Case!$E$22:$E$23),0)</f>
        <v>0</v>
      </c>
      <c r="AB27" s="105">
        <f>IF(AB19=0,-'Key_Assumptions_&amp;_Inputs'!$D$73*SUM(Community_Solar_Business_Case!$E$22:$E$23),0)</f>
        <v>0</v>
      </c>
      <c r="AC27" s="105">
        <f>IF(AC19=0,-'Key_Assumptions_&amp;_Inputs'!$D$73*SUM(Community_Solar_Business_Case!$E$22:$E$23),0)</f>
        <v>0</v>
      </c>
      <c r="AD27" s="177">
        <f>IF(AD19=0,-'Key_Assumptions_&amp;_Inputs'!$D$73*SUM(Community_Solar_Business_Case!$E$22:$E$23),0)</f>
        <v>0</v>
      </c>
      <c r="AE27" s="182"/>
    </row>
    <row r="28" spans="1:33" x14ac:dyDescent="0.25">
      <c r="B28" s="138" t="s">
        <v>202</v>
      </c>
      <c r="C28" s="139"/>
      <c r="D28" s="93" t="s">
        <v>0</v>
      </c>
      <c r="E28" s="183">
        <f>IF(E19=0,0,IF(E19&lt;='Key_Assumptions_&amp;_Inputs'!$D$75,-PMT('Key_Assumptions_&amp;_Inputs'!$D$74/12,'Key_Assumptions_&amp;_Inputs'!$D$75*12,'Key_Assumptions_&amp;_Inputs'!$D$73*(Community_Solar_Business_Case!$E$22+Community_Solar_Business_Case!$E$23))*12,0))</f>
        <v>0</v>
      </c>
      <c r="F28" s="183">
        <f>IF(F19=0,0,IF(F19&lt;='Key_Assumptions_&amp;_Inputs'!$D$75,-PMT('Key_Assumptions_&amp;_Inputs'!$D$74/12,'Key_Assumptions_&amp;_Inputs'!$D$75*12,'Key_Assumptions_&amp;_Inputs'!$D$73*(Community_Solar_Business_Case!$E$22+Community_Solar_Business_Case!$E$23))*12,0))</f>
        <v>0</v>
      </c>
      <c r="G28" s="183">
        <f>IF(G19=0,0,IF(G19&lt;='Key_Assumptions_&amp;_Inputs'!$D$75,-PMT('Key_Assumptions_&amp;_Inputs'!$D$74/12,'Key_Assumptions_&amp;_Inputs'!$D$75*12,'Key_Assumptions_&amp;_Inputs'!$D$73*(Community_Solar_Business_Case!$E$22+Community_Solar_Business_Case!$E$23))*12,0))</f>
        <v>0</v>
      </c>
      <c r="H28" s="183">
        <f>IF(H19=0,0,IF(H19&lt;='Key_Assumptions_&amp;_Inputs'!$D$75,-PMT('Key_Assumptions_&amp;_Inputs'!$D$74/12,'Key_Assumptions_&amp;_Inputs'!$D$75*12,'Key_Assumptions_&amp;_Inputs'!$D$73*(Community_Solar_Business_Case!$E$22+Community_Solar_Business_Case!$E$23))*12,0))</f>
        <v>0</v>
      </c>
      <c r="I28" s="183">
        <f>IF(I19=0,0,IF(I19&lt;='Key_Assumptions_&amp;_Inputs'!$D$75,-PMT('Key_Assumptions_&amp;_Inputs'!$D$74/12,'Key_Assumptions_&amp;_Inputs'!$D$75*12,'Key_Assumptions_&amp;_Inputs'!$D$73*(Community_Solar_Business_Case!$E$22+Community_Solar_Business_Case!$E$23))*12,0))</f>
        <v>0</v>
      </c>
      <c r="J28" s="183">
        <f>IF(J19=0,0,IF(J19&lt;='Key_Assumptions_&amp;_Inputs'!$D$75,-PMT('Key_Assumptions_&amp;_Inputs'!$D$74/12,'Key_Assumptions_&amp;_Inputs'!$D$75*12,'Key_Assumptions_&amp;_Inputs'!$D$73*(Community_Solar_Business_Case!$E$22+Community_Solar_Business_Case!$E$23))*12,0))</f>
        <v>0</v>
      </c>
      <c r="K28" s="183">
        <f>IF(K19=0,0,IF(K19&lt;='Key_Assumptions_&amp;_Inputs'!$D$75,-PMT('Key_Assumptions_&amp;_Inputs'!$D$74/12,'Key_Assumptions_&amp;_Inputs'!$D$75*12,'Key_Assumptions_&amp;_Inputs'!$D$73*(Community_Solar_Business_Case!$E$22+Community_Solar_Business_Case!$E$23))*12,0))</f>
        <v>0</v>
      </c>
      <c r="L28" s="183">
        <f>IF(L19=0,0,IF(L19&lt;='Key_Assumptions_&amp;_Inputs'!$D$75,-PMT('Key_Assumptions_&amp;_Inputs'!$D$74/12,'Key_Assumptions_&amp;_Inputs'!$D$75*12,'Key_Assumptions_&amp;_Inputs'!$D$73*(Community_Solar_Business_Case!$E$22+Community_Solar_Business_Case!$E$23))*12,0))</f>
        <v>0</v>
      </c>
      <c r="M28" s="183">
        <f>IF(M19=0,0,IF(M19&lt;='Key_Assumptions_&amp;_Inputs'!$D$75,-PMT('Key_Assumptions_&amp;_Inputs'!$D$74/12,'Key_Assumptions_&amp;_Inputs'!$D$75*12,'Key_Assumptions_&amp;_Inputs'!$D$73*(Community_Solar_Business_Case!$E$22+Community_Solar_Business_Case!$E$23))*12,0))</f>
        <v>0</v>
      </c>
      <c r="N28" s="183">
        <f>IF(N19=0,0,IF(N19&lt;='Key_Assumptions_&amp;_Inputs'!$D$75,-PMT('Key_Assumptions_&amp;_Inputs'!$D$74/12,'Key_Assumptions_&amp;_Inputs'!$D$75*12,'Key_Assumptions_&amp;_Inputs'!$D$73*(Community_Solar_Business_Case!$E$22+Community_Solar_Business_Case!$E$23))*12,0))</f>
        <v>0</v>
      </c>
      <c r="O28" s="183">
        <f>IF(O19=0,0,IF(O19&lt;='Key_Assumptions_&amp;_Inputs'!$D$75,-PMT('Key_Assumptions_&amp;_Inputs'!$D$74/12,'Key_Assumptions_&amp;_Inputs'!$D$75*12,'Key_Assumptions_&amp;_Inputs'!$D$73*(Community_Solar_Business_Case!$E$22+Community_Solar_Business_Case!$E$23))*12,0))</f>
        <v>0</v>
      </c>
      <c r="P28" s="183">
        <f>IF(P19=0,0,IF(P19&lt;='Key_Assumptions_&amp;_Inputs'!$D$75,-PMT('Key_Assumptions_&amp;_Inputs'!$D$74/12,'Key_Assumptions_&amp;_Inputs'!$D$75*12,'Key_Assumptions_&amp;_Inputs'!$D$73*(Community_Solar_Business_Case!$E$22+Community_Solar_Business_Case!$E$23))*12,0))</f>
        <v>0</v>
      </c>
      <c r="Q28" s="183">
        <f>IF(Q19=0,0,IF(Q19&lt;='Key_Assumptions_&amp;_Inputs'!$D$75,-PMT('Key_Assumptions_&amp;_Inputs'!$D$74/12,'Key_Assumptions_&amp;_Inputs'!$D$75*12,'Key_Assumptions_&amp;_Inputs'!$D$73*(Community_Solar_Business_Case!$E$22+Community_Solar_Business_Case!$E$23))*12,0))</f>
        <v>0</v>
      </c>
      <c r="R28" s="183">
        <f>IF(R19=0,0,IF(R19&lt;='Key_Assumptions_&amp;_Inputs'!$D$75,-PMT('Key_Assumptions_&amp;_Inputs'!$D$74/12,'Key_Assumptions_&amp;_Inputs'!$D$75*12,'Key_Assumptions_&amp;_Inputs'!$D$73*(Community_Solar_Business_Case!$E$22+Community_Solar_Business_Case!$E$23))*12,0))</f>
        <v>0</v>
      </c>
      <c r="S28" s="183">
        <f>IF(S19=0,0,IF(S19&lt;='Key_Assumptions_&amp;_Inputs'!$D$75,-PMT('Key_Assumptions_&amp;_Inputs'!$D$74/12,'Key_Assumptions_&amp;_Inputs'!$D$75*12,'Key_Assumptions_&amp;_Inputs'!$D$73*(Community_Solar_Business_Case!$E$22+Community_Solar_Business_Case!$E$23))*12,0))</f>
        <v>0</v>
      </c>
      <c r="T28" s="183">
        <f>IF(T19=0,0,IF(T19&lt;='Key_Assumptions_&amp;_Inputs'!$D$75,-PMT('Key_Assumptions_&amp;_Inputs'!$D$74/12,'Key_Assumptions_&amp;_Inputs'!$D$75*12,'Key_Assumptions_&amp;_Inputs'!$D$73*(Community_Solar_Business_Case!$E$22+Community_Solar_Business_Case!$E$23))*12,0))</f>
        <v>0</v>
      </c>
      <c r="U28" s="183">
        <f>IF(U19=0,0,IF(U19&lt;='Key_Assumptions_&amp;_Inputs'!$D$75,-PMT('Key_Assumptions_&amp;_Inputs'!$D$74/12,'Key_Assumptions_&amp;_Inputs'!$D$75*12,'Key_Assumptions_&amp;_Inputs'!$D$73*(Community_Solar_Business_Case!$E$22+Community_Solar_Business_Case!$E$23))*12,0))</f>
        <v>0</v>
      </c>
      <c r="V28" s="183">
        <f>IF(V19=0,0,IF(V19&lt;='Key_Assumptions_&amp;_Inputs'!$D$75,-PMT('Key_Assumptions_&amp;_Inputs'!$D$74/12,'Key_Assumptions_&amp;_Inputs'!$D$75*12,'Key_Assumptions_&amp;_Inputs'!$D$73*(Community_Solar_Business_Case!$E$22+Community_Solar_Business_Case!$E$23))*12,0))</f>
        <v>0</v>
      </c>
      <c r="W28" s="183">
        <f>IF(W19=0,0,IF(W19&lt;='Key_Assumptions_&amp;_Inputs'!$D$75,-PMT('Key_Assumptions_&amp;_Inputs'!$D$74/12,'Key_Assumptions_&amp;_Inputs'!$D$75*12,'Key_Assumptions_&amp;_Inputs'!$D$73*(Community_Solar_Business_Case!$E$22+Community_Solar_Business_Case!$E$23))*12,0))</f>
        <v>0</v>
      </c>
      <c r="X28" s="183">
        <f>IF(X19=0,0,IF(X19&lt;='Key_Assumptions_&amp;_Inputs'!$D$75,-PMT('Key_Assumptions_&amp;_Inputs'!$D$74/12,'Key_Assumptions_&amp;_Inputs'!$D$75*12,'Key_Assumptions_&amp;_Inputs'!$D$73*(Community_Solar_Business_Case!$E$22+Community_Solar_Business_Case!$E$23))*12,0))</f>
        <v>0</v>
      </c>
      <c r="Y28" s="183">
        <f>IF(Y19=0,0,IF(Y19&lt;='Key_Assumptions_&amp;_Inputs'!$D$75,-PMT('Key_Assumptions_&amp;_Inputs'!$D$74/12,'Key_Assumptions_&amp;_Inputs'!$D$75*12,'Key_Assumptions_&amp;_Inputs'!$D$73*(Community_Solar_Business_Case!$E$22+Community_Solar_Business_Case!$E$23))*12,0))</f>
        <v>0</v>
      </c>
      <c r="Z28" s="183">
        <f>IF(Z19=0,0,IF(Z19&lt;='Key_Assumptions_&amp;_Inputs'!$D$75,-PMT('Key_Assumptions_&amp;_Inputs'!$D$74/12,'Key_Assumptions_&amp;_Inputs'!$D$75*12,'Key_Assumptions_&amp;_Inputs'!$D$73*(Community_Solar_Business_Case!$E$22+Community_Solar_Business_Case!$E$23))*12,0))</f>
        <v>0</v>
      </c>
      <c r="AA28" s="183">
        <f>IF(AA19=0,0,IF(AA19&lt;='Key_Assumptions_&amp;_Inputs'!$D$75,-PMT('Key_Assumptions_&amp;_Inputs'!$D$74/12,'Key_Assumptions_&amp;_Inputs'!$D$75*12,'Key_Assumptions_&amp;_Inputs'!$D$73*(Community_Solar_Business_Case!$E$22+Community_Solar_Business_Case!$E$23))*12,0))</f>
        <v>0</v>
      </c>
      <c r="AB28" s="183">
        <f>IF(AB19=0,0,IF(AB19&lt;='Key_Assumptions_&amp;_Inputs'!$D$75,-PMT('Key_Assumptions_&amp;_Inputs'!$D$74/12,'Key_Assumptions_&amp;_Inputs'!$D$75*12,'Key_Assumptions_&amp;_Inputs'!$D$73*(Community_Solar_Business_Case!$E$22+Community_Solar_Business_Case!$E$23))*12,0))</f>
        <v>0</v>
      </c>
      <c r="AC28" s="183">
        <f>IF(AC19=0,0,IF(AC19&lt;='Key_Assumptions_&amp;_Inputs'!$D$75,-PMT('Key_Assumptions_&amp;_Inputs'!$D$74/12,'Key_Assumptions_&amp;_Inputs'!$D$75*12,'Key_Assumptions_&amp;_Inputs'!$D$73*(Community_Solar_Business_Case!$E$22+Community_Solar_Business_Case!$E$23))*12,0))</f>
        <v>0</v>
      </c>
      <c r="AD28" s="184">
        <f>IF(AD19=0,0,IF(AD19&lt;='Key_Assumptions_&amp;_Inputs'!$D$75,-PMT('Key_Assumptions_&amp;_Inputs'!$D$74/12,'Key_Assumptions_&amp;_Inputs'!$D$75*12,'Key_Assumptions_&amp;_Inputs'!$D$73*(Community_Solar_Business_Case!$E$22+Community_Solar_Business_Case!$E$23))*12,0))</f>
        <v>0</v>
      </c>
      <c r="AE28" s="185"/>
    </row>
    <row r="29" spans="1:33" x14ac:dyDescent="0.25">
      <c r="B29" s="140" t="s">
        <v>203</v>
      </c>
      <c r="C29" s="133"/>
      <c r="D29" s="89" t="s">
        <v>0</v>
      </c>
      <c r="E29" s="173">
        <f>SUM(E27:E28)</f>
        <v>0</v>
      </c>
      <c r="F29" s="173">
        <f t="shared" ref="F29:AD29" si="4">SUM(F27:F28)</f>
        <v>0</v>
      </c>
      <c r="G29" s="173">
        <f t="shared" si="4"/>
        <v>0</v>
      </c>
      <c r="H29" s="173">
        <f t="shared" si="4"/>
        <v>0</v>
      </c>
      <c r="I29" s="173">
        <f t="shared" si="4"/>
        <v>0</v>
      </c>
      <c r="J29" s="173">
        <f t="shared" si="4"/>
        <v>0</v>
      </c>
      <c r="K29" s="173">
        <f t="shared" si="4"/>
        <v>0</v>
      </c>
      <c r="L29" s="173">
        <f t="shared" si="4"/>
        <v>0</v>
      </c>
      <c r="M29" s="173">
        <f t="shared" si="4"/>
        <v>0</v>
      </c>
      <c r="N29" s="173">
        <f t="shared" si="4"/>
        <v>0</v>
      </c>
      <c r="O29" s="173">
        <f t="shared" si="4"/>
        <v>0</v>
      </c>
      <c r="P29" s="173">
        <f t="shared" si="4"/>
        <v>0</v>
      </c>
      <c r="Q29" s="173">
        <f t="shared" si="4"/>
        <v>0</v>
      </c>
      <c r="R29" s="173">
        <f t="shared" si="4"/>
        <v>0</v>
      </c>
      <c r="S29" s="173">
        <f t="shared" si="4"/>
        <v>0</v>
      </c>
      <c r="T29" s="173">
        <f t="shared" si="4"/>
        <v>0</v>
      </c>
      <c r="U29" s="173">
        <f t="shared" si="4"/>
        <v>0</v>
      </c>
      <c r="V29" s="173">
        <f t="shared" si="4"/>
        <v>0</v>
      </c>
      <c r="W29" s="173">
        <f t="shared" si="4"/>
        <v>0</v>
      </c>
      <c r="X29" s="173">
        <f t="shared" si="4"/>
        <v>0</v>
      </c>
      <c r="Y29" s="173">
        <f t="shared" si="4"/>
        <v>0</v>
      </c>
      <c r="Z29" s="173">
        <f t="shared" si="4"/>
        <v>0</v>
      </c>
      <c r="AA29" s="173">
        <f t="shared" si="4"/>
        <v>0</v>
      </c>
      <c r="AB29" s="173">
        <f t="shared" si="4"/>
        <v>0</v>
      </c>
      <c r="AC29" s="173">
        <f t="shared" si="4"/>
        <v>0</v>
      </c>
      <c r="AD29" s="405">
        <f t="shared" si="4"/>
        <v>0</v>
      </c>
      <c r="AE29" s="182"/>
    </row>
    <row r="30" spans="1:33" x14ac:dyDescent="0.25">
      <c r="B30" s="132"/>
      <c r="C30" s="133"/>
      <c r="D30" s="89"/>
      <c r="E30" s="105"/>
      <c r="F30" s="170"/>
      <c r="G30" s="170"/>
      <c r="H30" s="170"/>
      <c r="I30" s="170"/>
      <c r="J30" s="170"/>
      <c r="K30" s="170"/>
      <c r="L30" s="170"/>
      <c r="M30" s="170"/>
      <c r="N30" s="170"/>
      <c r="O30" s="170"/>
      <c r="P30" s="170"/>
      <c r="Q30" s="170"/>
      <c r="R30" s="170"/>
      <c r="S30" s="170"/>
      <c r="T30" s="170"/>
      <c r="U30" s="170"/>
      <c r="V30" s="170"/>
      <c r="W30" s="170"/>
      <c r="X30" s="170"/>
      <c r="Y30" s="171"/>
      <c r="Z30" s="171"/>
      <c r="AA30" s="171"/>
      <c r="AB30" s="171"/>
      <c r="AC30" s="171"/>
      <c r="AD30" s="172"/>
      <c r="AE30" s="182"/>
    </row>
    <row r="31" spans="1:33" x14ac:dyDescent="0.25">
      <c r="B31" s="134" t="s">
        <v>26</v>
      </c>
      <c r="C31" s="133"/>
      <c r="D31" s="89"/>
      <c r="E31" s="105"/>
      <c r="F31" s="105"/>
      <c r="G31" s="105"/>
      <c r="H31" s="105"/>
      <c r="I31" s="105"/>
      <c r="J31" s="105"/>
      <c r="K31" s="105"/>
      <c r="L31" s="105"/>
      <c r="M31" s="105"/>
      <c r="N31" s="105"/>
      <c r="O31" s="105"/>
      <c r="P31" s="105"/>
      <c r="Q31" s="105"/>
      <c r="R31" s="105"/>
      <c r="S31" s="105"/>
      <c r="T31" s="105"/>
      <c r="U31" s="105"/>
      <c r="V31" s="105"/>
      <c r="W31" s="105"/>
      <c r="X31" s="105"/>
      <c r="Y31" s="105"/>
      <c r="Z31" s="105"/>
      <c r="AA31" s="171"/>
      <c r="AB31" s="105"/>
      <c r="AC31" s="105"/>
      <c r="AD31" s="177"/>
      <c r="AE31" s="187"/>
    </row>
    <row r="32" spans="1:33" x14ac:dyDescent="0.25">
      <c r="B32" s="132" t="s">
        <v>212</v>
      </c>
      <c r="C32" s="133"/>
      <c r="D32" s="89" t="s">
        <v>0</v>
      </c>
      <c r="E32" s="105">
        <f>-IF(E19=0,'Admin_&amp;_Transaction_Costs'!$D$24-'Admin_&amp;_Transaction_Costs'!$D$23+'Key_Assumptions_&amp;_Inputs'!$J$74,0)</f>
        <v>-36156.481612903226</v>
      </c>
      <c r="F32" s="105">
        <f>-IF(F19=0,'Admin_&amp;_Transaction_Costs'!$D$24-'Admin_&amp;_Transaction_Costs'!$D$23+'Key_Assumptions_&amp;_Inputs'!$J$74,0)</f>
        <v>0</v>
      </c>
      <c r="G32" s="105">
        <f>-IF(G19=0,'Admin_&amp;_Transaction_Costs'!$D$24-'Admin_&amp;_Transaction_Costs'!$D$23+'Key_Assumptions_&amp;_Inputs'!$J$74,0)</f>
        <v>0</v>
      </c>
      <c r="H32" s="105">
        <f>-IF(H19=0,'Admin_&amp;_Transaction_Costs'!$D$24-'Admin_&amp;_Transaction_Costs'!$D$23+'Key_Assumptions_&amp;_Inputs'!$J$74,0)</f>
        <v>0</v>
      </c>
      <c r="I32" s="105">
        <f>-IF(I19=0,'Admin_&amp;_Transaction_Costs'!$D$24-'Admin_&amp;_Transaction_Costs'!$D$23+'Key_Assumptions_&amp;_Inputs'!$J$74,0)</f>
        <v>0</v>
      </c>
      <c r="J32" s="105">
        <f>-IF(J19=0,'Admin_&amp;_Transaction_Costs'!$D$24-'Admin_&amp;_Transaction_Costs'!$D$23+'Key_Assumptions_&amp;_Inputs'!$J$74,0)</f>
        <v>0</v>
      </c>
      <c r="K32" s="105">
        <f>-IF(K19=0,'Admin_&amp;_Transaction_Costs'!$D$24-'Admin_&amp;_Transaction_Costs'!$D$23+'Key_Assumptions_&amp;_Inputs'!$J$74,0)</f>
        <v>0</v>
      </c>
      <c r="L32" s="105">
        <f>-IF(L19=0,'Admin_&amp;_Transaction_Costs'!$D$24-'Admin_&amp;_Transaction_Costs'!$D$23+'Key_Assumptions_&amp;_Inputs'!$J$74,0)</f>
        <v>0</v>
      </c>
      <c r="M32" s="105">
        <f>-IF(M19=0,'Admin_&amp;_Transaction_Costs'!$D$24-'Admin_&amp;_Transaction_Costs'!$D$23+'Key_Assumptions_&amp;_Inputs'!$J$74,0)</f>
        <v>0</v>
      </c>
      <c r="N32" s="105">
        <f>-IF(N19=0,'Admin_&amp;_Transaction_Costs'!$D$24-'Admin_&amp;_Transaction_Costs'!$D$23+'Key_Assumptions_&amp;_Inputs'!$J$74,0)</f>
        <v>0</v>
      </c>
      <c r="O32" s="105">
        <f>-IF(O19=0,'Admin_&amp;_Transaction_Costs'!$D$24-'Admin_&amp;_Transaction_Costs'!$D$23+'Key_Assumptions_&amp;_Inputs'!$J$74,0)</f>
        <v>0</v>
      </c>
      <c r="P32" s="105">
        <f>-IF(P19=0,'Admin_&amp;_Transaction_Costs'!$D$24-'Admin_&amp;_Transaction_Costs'!$D$23+'Key_Assumptions_&amp;_Inputs'!$J$74,0)</f>
        <v>0</v>
      </c>
      <c r="Q32" s="105">
        <f>-IF(Q19=0,'Admin_&amp;_Transaction_Costs'!$D$24-'Admin_&amp;_Transaction_Costs'!$D$23+'Key_Assumptions_&amp;_Inputs'!$J$74,0)</f>
        <v>0</v>
      </c>
      <c r="R32" s="105">
        <f>-IF(R19=0,'Admin_&amp;_Transaction_Costs'!$D$24-'Admin_&amp;_Transaction_Costs'!$D$23+'Key_Assumptions_&amp;_Inputs'!$J$74,0)</f>
        <v>0</v>
      </c>
      <c r="S32" s="105">
        <f>-IF(S19=0,'Admin_&amp;_Transaction_Costs'!$D$24-'Admin_&amp;_Transaction_Costs'!$D$23+'Key_Assumptions_&amp;_Inputs'!$J$74,0)</f>
        <v>0</v>
      </c>
      <c r="T32" s="105">
        <f>-IF(T19=0,'Admin_&amp;_Transaction_Costs'!$D$24-'Admin_&amp;_Transaction_Costs'!$D$23+'Key_Assumptions_&amp;_Inputs'!$J$74,0)</f>
        <v>0</v>
      </c>
      <c r="U32" s="105">
        <f>-IF(U19=0,'Admin_&amp;_Transaction_Costs'!$D$24-'Admin_&amp;_Transaction_Costs'!$D$23+'Key_Assumptions_&amp;_Inputs'!$J$74,0)</f>
        <v>0</v>
      </c>
      <c r="V32" s="105">
        <f>-IF(V19=0,'Admin_&amp;_Transaction_Costs'!$D$24-'Admin_&amp;_Transaction_Costs'!$D$23+'Key_Assumptions_&amp;_Inputs'!$J$74,0)</f>
        <v>0</v>
      </c>
      <c r="W32" s="105">
        <f>-IF(W19=0,'Admin_&amp;_Transaction_Costs'!$D$24-'Admin_&amp;_Transaction_Costs'!$D$23+'Key_Assumptions_&amp;_Inputs'!$J$74,0)</f>
        <v>0</v>
      </c>
      <c r="X32" s="105">
        <f>-IF(X19=0,'Admin_&amp;_Transaction_Costs'!$D$24-'Admin_&amp;_Transaction_Costs'!$D$23+'Key_Assumptions_&amp;_Inputs'!$J$74,0)</f>
        <v>0</v>
      </c>
      <c r="Y32" s="105">
        <f>-IF(Y19=0,'Admin_&amp;_Transaction_Costs'!$D$24-'Admin_&amp;_Transaction_Costs'!$D$23+'Key_Assumptions_&amp;_Inputs'!$J$74,0)</f>
        <v>0</v>
      </c>
      <c r="Z32" s="105">
        <f>-IF(Z19=0,'Admin_&amp;_Transaction_Costs'!$D$24-'Admin_&amp;_Transaction_Costs'!$D$23+'Key_Assumptions_&amp;_Inputs'!$J$74,0)</f>
        <v>0</v>
      </c>
      <c r="AA32" s="105">
        <f>-IF(AA19=0,'Admin_&amp;_Transaction_Costs'!$D$24-'Admin_&amp;_Transaction_Costs'!$D$23+'Key_Assumptions_&amp;_Inputs'!$J$74,0)</f>
        <v>0</v>
      </c>
      <c r="AB32" s="105">
        <f>-IF(AB19=0,'Admin_&amp;_Transaction_Costs'!$D$24-'Admin_&amp;_Transaction_Costs'!$D$23+'Key_Assumptions_&amp;_Inputs'!$J$74,0)</f>
        <v>0</v>
      </c>
      <c r="AC32" s="105">
        <f>-IF(AC19=0,'Admin_&amp;_Transaction_Costs'!$D$24-'Admin_&amp;_Transaction_Costs'!$D$23+'Key_Assumptions_&amp;_Inputs'!$J$74,0)</f>
        <v>0</v>
      </c>
      <c r="AD32" s="177">
        <f>-IF(AD19=0,'Admin_&amp;_Transaction_Costs'!$D$24-'Admin_&amp;_Transaction_Costs'!$D$23+'Key_Assumptions_&amp;_Inputs'!$J$74,0)</f>
        <v>0</v>
      </c>
      <c r="AE32" s="187">
        <f t="shared" ref="AE32:AE36" si="5">SUM(E32:AD32)</f>
        <v>-36156.481612903226</v>
      </c>
    </row>
    <row r="33" spans="2:33" x14ac:dyDescent="0.25">
      <c r="B33" s="137" t="s">
        <v>213</v>
      </c>
      <c r="C33" s="133"/>
      <c r="D33" s="89" t="s">
        <v>0</v>
      </c>
      <c r="E33" s="105">
        <f>IF(E19=0,0,-'Admin_&amp;_Transaction_Costs'!D79-'Key_Assumptions_&amp;_Inputs'!$J$76)</f>
        <v>0</v>
      </c>
      <c r="F33" s="105">
        <f>IF(F19=0,0,-'Admin_&amp;_Transaction_Costs'!E79-'Key_Assumptions_&amp;_Inputs'!$J$76)</f>
        <v>-26958.75</v>
      </c>
      <c r="G33" s="105">
        <f>IF(G19=0,0,-'Admin_&amp;_Transaction_Costs'!F79-'Key_Assumptions_&amp;_Inputs'!$J$76)</f>
        <v>-10281.353906249999</v>
      </c>
      <c r="H33" s="105">
        <f>IF(H19=0,0,-'Admin_&amp;_Transaction_Costs'!G79-'Key_Assumptions_&amp;_Inputs'!$J$76)</f>
        <v>-8943.040620527343</v>
      </c>
      <c r="I33" s="105">
        <f>IF(I19=0,0,-'Admin_&amp;_Transaction_Costs'!H79-'Key_Assumptions_&amp;_Inputs'!$J$76)</f>
        <v>-8979.287716368457</v>
      </c>
      <c r="J33" s="105">
        <f>IF(J19=0,0,-'Admin_&amp;_Transaction_Costs'!I79-'Key_Assumptions_&amp;_Inputs'!$J$76)</f>
        <v>-9126.8719996305354</v>
      </c>
      <c r="K33" s="105">
        <f>IF(K19=0,0,-'Admin_&amp;_Transaction_Costs'!J79-'Key_Assumptions_&amp;_Inputs'!$J$76)</f>
        <v>-9395.953159619452</v>
      </c>
      <c r="L33" s="105">
        <f>IF(L19=0,0,-'Admin_&amp;_Transaction_Costs'!K79-'Key_Assumptions_&amp;_Inputs'!$J$76)</f>
        <v>-9673.1067544080361</v>
      </c>
      <c r="M33" s="105">
        <f>IF(M19=0,0,-'Admin_&amp;_Transaction_Costs'!L79-'Key_Assumptions_&amp;_Inputs'!$J$76)</f>
        <v>-9958.574957040275</v>
      </c>
      <c r="N33" s="105">
        <f>IF(N19=0,0,-'Admin_&amp;_Transaction_Costs'!M79-'Key_Assumptions_&amp;_Inputs'!$J$76)</f>
        <v>-10252.607205751485</v>
      </c>
      <c r="O33" s="105">
        <f>IF(O19=0,0,-'Admin_&amp;_Transaction_Costs'!N79-'Key_Assumptions_&amp;_Inputs'!$J$76)</f>
        <v>-10555.460421924028</v>
      </c>
      <c r="P33" s="105">
        <f>IF(P19=0,0,-'Admin_&amp;_Transaction_Costs'!O79-'Key_Assumptions_&amp;_Inputs'!$J$76)</f>
        <v>-10867.399234581751</v>
      </c>
      <c r="Q33" s="105">
        <f>IF(Q19=0,0,-'Admin_&amp;_Transaction_Costs'!P79-'Key_Assumptions_&amp;_Inputs'!$J$76)</f>
        <v>-11188.696211619204</v>
      </c>
      <c r="R33" s="105">
        <f>IF(R19=0,0,-'Admin_&amp;_Transaction_Costs'!Q79-'Key_Assumptions_&amp;_Inputs'!$J$76)</f>
        <v>-11519.63209796778</v>
      </c>
      <c r="S33" s="105">
        <f>IF(S19=0,0,-'Admin_&amp;_Transaction_Costs'!R79-'Key_Assumptions_&amp;_Inputs'!$J$76)</f>
        <v>-11860.496060906815</v>
      </c>
      <c r="T33" s="105">
        <f>IF(T19=0,0,-'Admin_&amp;_Transaction_Costs'!S79-'Key_Assumptions_&amp;_Inputs'!$J$76)</f>
        <v>-12211.585942734016</v>
      </c>
      <c r="U33" s="105">
        <f>IF(U19=0,0,-'Admin_&amp;_Transaction_Costs'!T79-'Key_Assumptions_&amp;_Inputs'!$J$76)</f>
        <v>-12573.208521016039</v>
      </c>
      <c r="V33" s="105">
        <f>IF(V19=0,0,-'Admin_&amp;_Transaction_Costs'!U79-'Key_Assumptions_&amp;_Inputs'!$J$76)</f>
        <v>-12945.679776646519</v>
      </c>
      <c r="W33" s="105">
        <f>IF(W19=0,0,-'Admin_&amp;_Transaction_Costs'!V79-'Key_Assumptions_&amp;_Inputs'!$J$76)</f>
        <v>-13329.325169945914</v>
      </c>
      <c r="X33" s="105">
        <f>IF(X19=0,0,-'Admin_&amp;_Transaction_Costs'!W79-'Key_Assumptions_&amp;_Inputs'!$J$76)</f>
        <v>-13724.479925044294</v>
      </c>
      <c r="Y33" s="105">
        <f>IF(Y19=0,0,-'Admin_&amp;_Transaction_Costs'!X79-'Key_Assumptions_&amp;_Inputs'!$J$76)</f>
        <v>-14131.48932279562</v>
      </c>
      <c r="Z33" s="105">
        <f>IF(Z19=0,0,-'Admin_&amp;_Transaction_Costs'!Y79-'Key_Assumptions_&amp;_Inputs'!$J$76)</f>
        <v>-14550.709002479491</v>
      </c>
      <c r="AA33" s="105">
        <f>IF(AA19=0,0,-'Admin_&amp;_Transaction_Costs'!Z79-'Key_Assumptions_&amp;_Inputs'!$J$76)</f>
        <v>-14982.505272553875</v>
      </c>
      <c r="AB33" s="105">
        <f>IF(AB19=0,0,-'Admin_&amp;_Transaction_Costs'!AA79-'Key_Assumptions_&amp;_Inputs'!$J$76)</f>
        <v>-15427.255430730491</v>
      </c>
      <c r="AC33" s="105">
        <f>IF(AC19=0,0,-'Admin_&amp;_Transaction_Costs'!AB79-'Key_Assumptions_&amp;_Inputs'!$J$76)</f>
        <v>-15885.348093652407</v>
      </c>
      <c r="AD33" s="177">
        <f>IF(AD19=0,0,-'Admin_&amp;_Transaction_Costs'!AC79-'Key_Assumptions_&amp;_Inputs'!$J$76)</f>
        <v>-16357.18353646198</v>
      </c>
      <c r="AE33" s="187">
        <f t="shared" si="5"/>
        <v>-315680.00034065574</v>
      </c>
    </row>
    <row r="34" spans="2:33" x14ac:dyDescent="0.25">
      <c r="B34" s="132" t="s">
        <v>39</v>
      </c>
      <c r="C34" s="133"/>
      <c r="D34" s="94" t="s">
        <v>0</v>
      </c>
      <c r="E34" s="105">
        <f>IF(E19=0,0,-'Key_Assumptions_&amp;_Inputs'!$J$48*'Key_Assumptions_&amp;_Inputs'!$E$18)</f>
        <v>0</v>
      </c>
      <c r="F34" s="105">
        <f>IF(F19=0,0,-'Key_Assumptions_&amp;_Inputs'!$J$48*'Key_Assumptions_&amp;_Inputs'!$E$18)</f>
        <v>-21150</v>
      </c>
      <c r="G34" s="105">
        <f>IF(G19=0,0,-'Key_Assumptions_&amp;_Inputs'!$J$48*'Key_Assumptions_&amp;_Inputs'!$E$18)</f>
        <v>-21150</v>
      </c>
      <c r="H34" s="105">
        <f>IF(H19=0,0,-'Key_Assumptions_&amp;_Inputs'!$J$48*'Key_Assumptions_&amp;_Inputs'!$E$18)</f>
        <v>-21150</v>
      </c>
      <c r="I34" s="105">
        <f>IF(I19=0,0,-'Key_Assumptions_&amp;_Inputs'!$J$48*'Key_Assumptions_&amp;_Inputs'!$E$18)</f>
        <v>-21150</v>
      </c>
      <c r="J34" s="105">
        <f>IF(J19=0,0,-'Key_Assumptions_&amp;_Inputs'!$J$48*'Key_Assumptions_&amp;_Inputs'!$E$18)</f>
        <v>-21150</v>
      </c>
      <c r="K34" s="105">
        <f>IF(K19=0,0,-'Key_Assumptions_&amp;_Inputs'!$J$48*'Key_Assumptions_&amp;_Inputs'!$E$18)</f>
        <v>-21150</v>
      </c>
      <c r="L34" s="105">
        <f>IF(L19=0,0,-'Key_Assumptions_&amp;_Inputs'!$J$48*'Key_Assumptions_&amp;_Inputs'!$E$18)</f>
        <v>-21150</v>
      </c>
      <c r="M34" s="105">
        <f>IF(M19=0,0,-'Key_Assumptions_&amp;_Inputs'!$J$48*'Key_Assumptions_&amp;_Inputs'!$E$18)</f>
        <v>-21150</v>
      </c>
      <c r="N34" s="105">
        <f>IF(N19=0,0,-'Key_Assumptions_&amp;_Inputs'!$J$48*'Key_Assumptions_&amp;_Inputs'!$E$18)</f>
        <v>-21150</v>
      </c>
      <c r="O34" s="105">
        <f>IF(O19=0,0,-'Key_Assumptions_&amp;_Inputs'!$J$48*'Key_Assumptions_&amp;_Inputs'!$E$18)</f>
        <v>-21150</v>
      </c>
      <c r="P34" s="105">
        <f>IF(P19=0,0,-'Key_Assumptions_&amp;_Inputs'!$J$48*'Key_Assumptions_&amp;_Inputs'!$E$18)</f>
        <v>-21150</v>
      </c>
      <c r="Q34" s="105">
        <f>IF(Q19=0,0,-'Key_Assumptions_&amp;_Inputs'!$J$48*'Key_Assumptions_&amp;_Inputs'!$E$18)</f>
        <v>-21150</v>
      </c>
      <c r="R34" s="105">
        <f>IF(R19=0,0,-'Key_Assumptions_&amp;_Inputs'!$J$48*'Key_Assumptions_&amp;_Inputs'!$E$18)</f>
        <v>-21150</v>
      </c>
      <c r="S34" s="105">
        <f>IF(S19=0,0,-'Key_Assumptions_&amp;_Inputs'!$J$48*'Key_Assumptions_&amp;_Inputs'!$E$18)</f>
        <v>-21150</v>
      </c>
      <c r="T34" s="105">
        <f>IF(T19=0,0,-'Key_Assumptions_&amp;_Inputs'!$J$48*'Key_Assumptions_&amp;_Inputs'!$E$18)</f>
        <v>-21150</v>
      </c>
      <c r="U34" s="105">
        <f>IF(U19=0,0,-'Key_Assumptions_&amp;_Inputs'!$J$48*'Key_Assumptions_&amp;_Inputs'!$E$18)</f>
        <v>-21150</v>
      </c>
      <c r="V34" s="105">
        <f>IF(V19=0,0,-'Key_Assumptions_&amp;_Inputs'!$J$48*'Key_Assumptions_&amp;_Inputs'!$E$18)</f>
        <v>-21150</v>
      </c>
      <c r="W34" s="105">
        <f>IF(W19=0,0,-'Key_Assumptions_&amp;_Inputs'!$J$48*'Key_Assumptions_&amp;_Inputs'!$E$18)</f>
        <v>-21150</v>
      </c>
      <c r="X34" s="105">
        <f>IF(X19=0,0,-'Key_Assumptions_&amp;_Inputs'!$J$48*'Key_Assumptions_&amp;_Inputs'!$E$18)</f>
        <v>-21150</v>
      </c>
      <c r="Y34" s="105">
        <f>IF(Y19=0,0,-'Key_Assumptions_&amp;_Inputs'!$J$48*'Key_Assumptions_&amp;_Inputs'!$E$18)</f>
        <v>-21150</v>
      </c>
      <c r="Z34" s="105">
        <f>IF(Z19=0,0,-'Key_Assumptions_&amp;_Inputs'!$J$48*'Key_Assumptions_&amp;_Inputs'!$E$18)</f>
        <v>-21150</v>
      </c>
      <c r="AA34" s="105">
        <f>IF(AA19=0,0,-'Key_Assumptions_&amp;_Inputs'!$J$48*'Key_Assumptions_&amp;_Inputs'!$E$18)</f>
        <v>-21150</v>
      </c>
      <c r="AB34" s="105">
        <f>IF(AB19=0,0,-'Key_Assumptions_&amp;_Inputs'!$J$48*'Key_Assumptions_&amp;_Inputs'!$E$18)</f>
        <v>-21150</v>
      </c>
      <c r="AC34" s="105">
        <f>IF(AC19=0,0,-'Key_Assumptions_&amp;_Inputs'!$J$48*'Key_Assumptions_&amp;_Inputs'!$E$18)</f>
        <v>-21150</v>
      </c>
      <c r="AD34" s="177">
        <f>IF(AD19=0,0,-'Key_Assumptions_&amp;_Inputs'!$J$48*'Key_Assumptions_&amp;_Inputs'!$E$18)</f>
        <v>-21150</v>
      </c>
      <c r="AE34" s="187">
        <f t="shared" si="5"/>
        <v>-528750</v>
      </c>
      <c r="AG34" s="84"/>
    </row>
    <row r="35" spans="2:33" x14ac:dyDescent="0.25">
      <c r="B35" s="137" t="s">
        <v>190</v>
      </c>
      <c r="C35" s="133"/>
      <c r="D35" s="94" t="s">
        <v>0</v>
      </c>
      <c r="E35" s="105">
        <f>IF(E19=25,-'Key_Assumptions_&amp;_Inputs'!$J$45,0)</f>
        <v>0</v>
      </c>
      <c r="F35" s="105">
        <f>IF(F19=25,-'Key_Assumptions_&amp;_Inputs'!$J$45,0)</f>
        <v>0</v>
      </c>
      <c r="G35" s="105">
        <f>IF(G19=25,-'Key_Assumptions_&amp;_Inputs'!$J$45,0)</f>
        <v>0</v>
      </c>
      <c r="H35" s="105">
        <f>IF(H19=25,-'Key_Assumptions_&amp;_Inputs'!$J$45,0)</f>
        <v>0</v>
      </c>
      <c r="I35" s="105">
        <f>IF(I19=25,-'Key_Assumptions_&amp;_Inputs'!$J$45,0)</f>
        <v>0</v>
      </c>
      <c r="J35" s="105">
        <f>IF(J19=25,-'Key_Assumptions_&amp;_Inputs'!$J$45,0)</f>
        <v>0</v>
      </c>
      <c r="K35" s="105">
        <f>IF(K19=25,-'Key_Assumptions_&amp;_Inputs'!$J$45,0)</f>
        <v>0</v>
      </c>
      <c r="L35" s="105">
        <f>IF(L19=25,-'Key_Assumptions_&amp;_Inputs'!$J$45,0)</f>
        <v>0</v>
      </c>
      <c r="M35" s="105">
        <f>IF(M19=25,-'Key_Assumptions_&amp;_Inputs'!$J$45,0)</f>
        <v>0</v>
      </c>
      <c r="N35" s="105">
        <f>IF(N19=25,-'Key_Assumptions_&amp;_Inputs'!$J$45,0)</f>
        <v>0</v>
      </c>
      <c r="O35" s="105">
        <f>IF(O19=25,-'Key_Assumptions_&amp;_Inputs'!$J$45,0)</f>
        <v>0</v>
      </c>
      <c r="P35" s="105">
        <f>IF(P19=25,-'Key_Assumptions_&amp;_Inputs'!$J$45,0)</f>
        <v>0</v>
      </c>
      <c r="Q35" s="105">
        <f>IF(Q19=25,-'Key_Assumptions_&amp;_Inputs'!$J$45,0)</f>
        <v>0</v>
      </c>
      <c r="R35" s="105">
        <f>IF(R19=25,-'Key_Assumptions_&amp;_Inputs'!$J$45,0)</f>
        <v>0</v>
      </c>
      <c r="S35" s="105">
        <f>IF(S19=25,-'Key_Assumptions_&amp;_Inputs'!$J$45,0)</f>
        <v>0</v>
      </c>
      <c r="T35" s="105">
        <f>IF(T19=25,-'Key_Assumptions_&amp;_Inputs'!$J$45,0)</f>
        <v>0</v>
      </c>
      <c r="U35" s="105">
        <f>IF(U19=25,-'Key_Assumptions_&amp;_Inputs'!$J$45,0)</f>
        <v>0</v>
      </c>
      <c r="V35" s="105">
        <f>IF(V19=25,-'Key_Assumptions_&amp;_Inputs'!$J$45,0)</f>
        <v>0</v>
      </c>
      <c r="W35" s="105">
        <f>IF(W19=25,-'Key_Assumptions_&amp;_Inputs'!$J$45,0)</f>
        <v>0</v>
      </c>
      <c r="X35" s="105">
        <f>IF(X19=25,-'Key_Assumptions_&amp;_Inputs'!$J$45,0)</f>
        <v>0</v>
      </c>
      <c r="Y35" s="105">
        <f>IF(Y19=25,-'Key_Assumptions_&amp;_Inputs'!$J$45,0)</f>
        <v>0</v>
      </c>
      <c r="Z35" s="105">
        <f>IF(Z19=25,-'Key_Assumptions_&amp;_Inputs'!$J$45,0)</f>
        <v>0</v>
      </c>
      <c r="AA35" s="105">
        <f>IF(AA19=25,-'Key_Assumptions_&amp;_Inputs'!$J$45,0)</f>
        <v>0</v>
      </c>
      <c r="AB35" s="105">
        <f>IF(AB19=25,-'Key_Assumptions_&amp;_Inputs'!$J$45,0)</f>
        <v>0</v>
      </c>
      <c r="AC35" s="105">
        <f>IF(AC19=25,-'Key_Assumptions_&amp;_Inputs'!$J$45,0)</f>
        <v>0</v>
      </c>
      <c r="AD35" s="177">
        <f>IF(AD19=25,-'Key_Assumptions_&amp;_Inputs'!$J$45,0)</f>
        <v>0</v>
      </c>
      <c r="AE35" s="187">
        <f t="shared" si="5"/>
        <v>0</v>
      </c>
      <c r="AG35" s="84"/>
    </row>
    <row r="36" spans="2:33" x14ac:dyDescent="0.25">
      <c r="B36" s="135" t="s">
        <v>27</v>
      </c>
      <c r="C36" s="136"/>
      <c r="D36" s="95" t="s">
        <v>0</v>
      </c>
      <c r="E36" s="188">
        <f>SUM(E32:E35)</f>
        <v>-36156.481612903226</v>
      </c>
      <c r="F36" s="188">
        <f t="shared" ref="F36:AD36" si="6">SUM(F32:F35)</f>
        <v>-48108.75</v>
      </c>
      <c r="G36" s="188">
        <f t="shared" si="6"/>
        <v>-31431.353906249999</v>
      </c>
      <c r="H36" s="188">
        <f t="shared" si="6"/>
        <v>-30093.040620527343</v>
      </c>
      <c r="I36" s="188">
        <f t="shared" si="6"/>
        <v>-30129.287716368457</v>
      </c>
      <c r="J36" s="188">
        <f t="shared" si="6"/>
        <v>-30276.871999630537</v>
      </c>
      <c r="K36" s="188">
        <f t="shared" si="6"/>
        <v>-30545.95315961945</v>
      </c>
      <c r="L36" s="188">
        <f t="shared" si="6"/>
        <v>-30823.106754408036</v>
      </c>
      <c r="M36" s="188">
        <f t="shared" si="6"/>
        <v>-31108.574957040277</v>
      </c>
      <c r="N36" s="188">
        <f t="shared" si="6"/>
        <v>-31402.607205751483</v>
      </c>
      <c r="O36" s="188">
        <f t="shared" si="6"/>
        <v>-31705.460421924028</v>
      </c>
      <c r="P36" s="188">
        <f t="shared" si="6"/>
        <v>-32017.399234581753</v>
      </c>
      <c r="Q36" s="188">
        <f t="shared" si="6"/>
        <v>-32338.696211619204</v>
      </c>
      <c r="R36" s="188">
        <f t="shared" si="6"/>
        <v>-32669.63209796778</v>
      </c>
      <c r="S36" s="188">
        <f t="shared" si="6"/>
        <v>-33010.496060906815</v>
      </c>
      <c r="T36" s="188">
        <f t="shared" si="6"/>
        <v>-33361.585942734018</v>
      </c>
      <c r="U36" s="188">
        <f t="shared" si="6"/>
        <v>-33723.208521016037</v>
      </c>
      <c r="V36" s="188">
        <f t="shared" si="6"/>
        <v>-34095.679776646517</v>
      </c>
      <c r="W36" s="188">
        <f t="shared" si="6"/>
        <v>-34479.325169945914</v>
      </c>
      <c r="X36" s="188">
        <f t="shared" si="6"/>
        <v>-34874.479925044296</v>
      </c>
      <c r="Y36" s="188">
        <f t="shared" si="6"/>
        <v>-35281.48932279562</v>
      </c>
      <c r="Z36" s="188">
        <f t="shared" si="6"/>
        <v>-35700.709002479489</v>
      </c>
      <c r="AA36" s="188">
        <f t="shared" si="6"/>
        <v>-36132.505272553877</v>
      </c>
      <c r="AB36" s="188">
        <f t="shared" si="6"/>
        <v>-36577.255430730489</v>
      </c>
      <c r="AC36" s="188">
        <f t="shared" si="6"/>
        <v>-37035.348093652407</v>
      </c>
      <c r="AD36" s="406">
        <f t="shared" si="6"/>
        <v>-37507.183536461976</v>
      </c>
      <c r="AE36" s="189">
        <f t="shared" si="5"/>
        <v>-880586.48195355909</v>
      </c>
    </row>
    <row r="37" spans="2:33" x14ac:dyDescent="0.25">
      <c r="B37" s="132"/>
      <c r="C37" s="133"/>
      <c r="D37" s="89"/>
      <c r="E37" s="105"/>
      <c r="F37" s="167"/>
      <c r="G37" s="167"/>
      <c r="H37" s="167"/>
      <c r="I37" s="167"/>
      <c r="J37" s="167"/>
      <c r="K37" s="167"/>
      <c r="L37" s="167"/>
      <c r="M37" s="167"/>
      <c r="N37" s="167"/>
      <c r="O37" s="167"/>
      <c r="P37" s="170"/>
      <c r="Q37" s="170"/>
      <c r="R37" s="170"/>
      <c r="S37" s="170"/>
      <c r="T37" s="170"/>
      <c r="U37" s="170"/>
      <c r="V37" s="170"/>
      <c r="W37" s="170"/>
      <c r="X37" s="170"/>
      <c r="Y37" s="171"/>
      <c r="Z37" s="171"/>
      <c r="AA37" s="171"/>
      <c r="AB37" s="171"/>
      <c r="AC37" s="171"/>
      <c r="AD37" s="172"/>
      <c r="AE37" s="182"/>
    </row>
    <row r="38" spans="2:33" x14ac:dyDescent="0.25">
      <c r="B38" s="134" t="s">
        <v>29</v>
      </c>
      <c r="C38" s="133"/>
      <c r="D38" s="89"/>
      <c r="E38" s="105"/>
      <c r="F38" s="167"/>
      <c r="G38" s="167"/>
      <c r="H38" s="167"/>
      <c r="I38" s="167"/>
      <c r="J38" s="167"/>
      <c r="K38" s="167"/>
      <c r="L38" s="167"/>
      <c r="M38" s="167"/>
      <c r="N38" s="167"/>
      <c r="O38" s="167"/>
      <c r="P38" s="170"/>
      <c r="Q38" s="170"/>
      <c r="R38" s="170"/>
      <c r="S38" s="170"/>
      <c r="T38" s="170"/>
      <c r="U38" s="170"/>
      <c r="V38" s="170"/>
      <c r="W38" s="170"/>
      <c r="X38" s="170"/>
      <c r="Y38" s="171"/>
      <c r="Z38" s="171"/>
      <c r="AA38" s="171"/>
      <c r="AB38" s="171"/>
      <c r="AC38" s="171"/>
      <c r="AD38" s="172"/>
      <c r="AE38" s="190"/>
    </row>
    <row r="39" spans="2:33" x14ac:dyDescent="0.25">
      <c r="B39" s="137" t="s">
        <v>82</v>
      </c>
      <c r="C39" s="133"/>
      <c r="D39" s="89" t="s">
        <v>0</v>
      </c>
      <c r="E39" s="105">
        <f>IF(AND(E19=0,'Key_Assumptions_&amp;_Inputs'!$E$21="Non Tax-Exempt Entity"),'Key_Assumptions_&amp;_Inputs'!$J$58*-E23,0)</f>
        <v>752940.00000000012</v>
      </c>
      <c r="F39" s="105">
        <f>IF(AND(F19=0,'Key_Assumptions_&amp;_Inputs'!$E$21="Non Tax-Exempt Entity"),'Key_Assumptions_&amp;_Inputs'!$J$58*-F23,0)</f>
        <v>0</v>
      </c>
      <c r="G39" s="105">
        <f>IF(AND(G19=0,'Key_Assumptions_&amp;_Inputs'!$E$21="Non Tax-Exempt Entity"),'Key_Assumptions_&amp;_Inputs'!$J$58*-G23,0)</f>
        <v>0</v>
      </c>
      <c r="H39" s="105">
        <f>IF(AND(H19=0,'Key_Assumptions_&amp;_Inputs'!$E$21="Non Tax-Exempt Entity"),'Key_Assumptions_&amp;_Inputs'!$J$58*-H23,0)</f>
        <v>0</v>
      </c>
      <c r="I39" s="105">
        <f>IF(AND(I19=0,'Key_Assumptions_&amp;_Inputs'!$E$21="Non Tax-Exempt Entity"),'Key_Assumptions_&amp;_Inputs'!$J$58*-I23,0)</f>
        <v>0</v>
      </c>
      <c r="J39" s="105">
        <f>IF(AND(J19=0,'Key_Assumptions_&amp;_Inputs'!$E$21="Non Tax-Exempt Entity"),'Key_Assumptions_&amp;_Inputs'!$J$58*-J23,0)</f>
        <v>0</v>
      </c>
      <c r="K39" s="105">
        <f>IF(AND(K19=0,'Key_Assumptions_&amp;_Inputs'!$E$21="Non Tax-Exempt Entity"),'Key_Assumptions_&amp;_Inputs'!$J$58*-K23,0)</f>
        <v>0</v>
      </c>
      <c r="L39" s="105">
        <f>IF(AND(L19=0,'Key_Assumptions_&amp;_Inputs'!$E$21="Non Tax-Exempt Entity"),'Key_Assumptions_&amp;_Inputs'!$J$58*-L23,0)</f>
        <v>0</v>
      </c>
      <c r="M39" s="105">
        <f>IF(AND(M19=0,'Key_Assumptions_&amp;_Inputs'!$E$21="Non Tax-Exempt Entity"),'Key_Assumptions_&amp;_Inputs'!$J$58*-M23,0)</f>
        <v>0</v>
      </c>
      <c r="N39" s="105">
        <f>IF(AND(N19=0,'Key_Assumptions_&amp;_Inputs'!$E$21="Non Tax-Exempt Entity"),'Key_Assumptions_&amp;_Inputs'!$J$58*-N23,0)</f>
        <v>0</v>
      </c>
      <c r="O39" s="105">
        <f>IF(AND(O19=0,'Key_Assumptions_&amp;_Inputs'!$E$21="Non Tax-Exempt Entity"),'Key_Assumptions_&amp;_Inputs'!$J$58*-O23,0)</f>
        <v>0</v>
      </c>
      <c r="P39" s="105">
        <f>IF(AND(P19=0,'Key_Assumptions_&amp;_Inputs'!$E$21="Non Tax-Exempt Entity"),'Key_Assumptions_&amp;_Inputs'!$J$58*-P23,0)</f>
        <v>0</v>
      </c>
      <c r="Q39" s="105">
        <f>IF(AND(Q19=0,'Key_Assumptions_&amp;_Inputs'!$E$21="Non Tax-Exempt Entity"),'Key_Assumptions_&amp;_Inputs'!$J$58*-Q23,0)</f>
        <v>0</v>
      </c>
      <c r="R39" s="105">
        <f>IF(AND(R19=0,'Key_Assumptions_&amp;_Inputs'!$E$21="Non Tax-Exempt Entity"),'Key_Assumptions_&amp;_Inputs'!$J$58*-R23,0)</f>
        <v>0</v>
      </c>
      <c r="S39" s="105">
        <f>IF(AND(S19=0,'Key_Assumptions_&amp;_Inputs'!$E$21="Non Tax-Exempt Entity"),'Key_Assumptions_&amp;_Inputs'!$J$58*-S23,0)</f>
        <v>0</v>
      </c>
      <c r="T39" s="105">
        <f>IF(AND(T19=0,'Key_Assumptions_&amp;_Inputs'!$E$21="Non Tax-Exempt Entity"),'Key_Assumptions_&amp;_Inputs'!$J$58*-T23,0)</f>
        <v>0</v>
      </c>
      <c r="U39" s="105">
        <f>IF(AND(U19=0,'Key_Assumptions_&amp;_Inputs'!$E$21="Non Tax-Exempt Entity"),'Key_Assumptions_&amp;_Inputs'!$J$58*-U23,0)</f>
        <v>0</v>
      </c>
      <c r="V39" s="105">
        <f>IF(AND(V19=0,'Key_Assumptions_&amp;_Inputs'!$E$21="Non Tax-Exempt Entity"),'Key_Assumptions_&amp;_Inputs'!$J$58*-V23,0)</f>
        <v>0</v>
      </c>
      <c r="W39" s="105">
        <f>IF(AND(W19=0,'Key_Assumptions_&amp;_Inputs'!$E$21="Non Tax-Exempt Entity"),'Key_Assumptions_&amp;_Inputs'!$J$58*-W23,0)</f>
        <v>0</v>
      </c>
      <c r="X39" s="105">
        <f>IF(AND(X19=0,'Key_Assumptions_&amp;_Inputs'!$E$21="Non Tax-Exempt Entity"),'Key_Assumptions_&amp;_Inputs'!$J$58*-X23,0)</f>
        <v>0</v>
      </c>
      <c r="Y39" s="105">
        <f>IF(AND(Y19=0,'Key_Assumptions_&amp;_Inputs'!$E$21="Non Tax-Exempt Entity"),'Key_Assumptions_&amp;_Inputs'!$J$58*-Y23,0)</f>
        <v>0</v>
      </c>
      <c r="Z39" s="105">
        <f>IF(AND(Z19=0,'Key_Assumptions_&amp;_Inputs'!$E$21="Non Tax-Exempt Entity"),'Key_Assumptions_&amp;_Inputs'!$J$58*-Z23,0)</f>
        <v>0</v>
      </c>
      <c r="AA39" s="105">
        <f>IF(AND(AA19=0,'Key_Assumptions_&amp;_Inputs'!$E$21="Non Tax-Exempt Entity"),'Key_Assumptions_&amp;_Inputs'!$J$58*-AA23,0)</f>
        <v>0</v>
      </c>
      <c r="AB39" s="105">
        <f>IF(AND(AB19=0,'Key_Assumptions_&amp;_Inputs'!$E$21="Non Tax-Exempt Entity"),'Key_Assumptions_&amp;_Inputs'!$J$58*-AB23,0)</f>
        <v>0</v>
      </c>
      <c r="AC39" s="105">
        <f>IF(AND(AC19=0,'Key_Assumptions_&amp;_Inputs'!$E$21="Non Tax-Exempt Entity"),'Key_Assumptions_&amp;_Inputs'!$J$58*-AC23,0)</f>
        <v>0</v>
      </c>
      <c r="AD39" s="177">
        <f>IF(AND(AD19=0,'Key_Assumptions_&amp;_Inputs'!$E$21="Non Tax-Exempt Entity"),'Key_Assumptions_&amp;_Inputs'!$J$58*-AD23,0)</f>
        <v>0</v>
      </c>
      <c r="AE39" s="190">
        <f>SUM(E39:AD39)</f>
        <v>752940.00000000012</v>
      </c>
    </row>
    <row r="40" spans="2:33" s="64" customFormat="1" x14ac:dyDescent="0.25">
      <c r="B40" s="137" t="s">
        <v>317</v>
      </c>
      <c r="C40" s="133"/>
      <c r="D40" s="96" t="s">
        <v>0</v>
      </c>
      <c r="E40" s="191">
        <f>IF(AND('Key_Assumptions_&amp;_Inputs'!$E$21="Non Tax-Exempt Entity",E19=1),(-Community_Solar_Business_Case!$E$23-(Community_Solar_Business_Case!$E$39/2))*0.2*'Key_Assumptions_&amp;_Inputs'!$J$66,0)
+IF(AND('Key_Assumptions_&amp;_Inputs'!$E$21="Non Tax-Exempt Entity",E19=2),(-Community_Solar_Business_Case!$E$23-(Community_Solar_Business_Case!$E$39/2))*0.32*'Key_Assumptions_&amp;_Inputs'!$J$66,0)
+IF(AND('Key_Assumptions_&amp;_Inputs'!$E$21="Non Tax-Exempt Entity",E19=3),(-Community_Solar_Business_Case!$E$23-(Community_Solar_Business_Case!$E$39/2))*0.192*'Key_Assumptions_&amp;_Inputs'!$J$66,0)
+IF(AND('Key_Assumptions_&amp;_Inputs'!$E$21="Non Tax-Exempt Entity",E19=4),(-Community_Solar_Business_Case!$E$23-(Community_Solar_Business_Case!$E$39/2))*0.1152*'Key_Assumptions_&amp;_Inputs'!$J$66,0)
+IF(AND('Key_Assumptions_&amp;_Inputs'!$E$21="Non Tax-Exempt Entity",E19=5),(-Community_Solar_Business_Case!$E$23-(Community_Solar_Business_Case!$E$39/2))*0.1152*'Key_Assumptions_&amp;_Inputs'!$J$66,0)
+IF(AND('Key_Assumptions_&amp;_Inputs'!$E$21="Non Tax-Exempt Entity",E19=2),(-Community_Solar_Business_Case!$E$23-(Community_Solar_Business_Case!$E$39/2))*0.0576*'Key_Assumptions_&amp;_Inputs'!$J$66,0)</f>
        <v>0</v>
      </c>
      <c r="F40" s="191">
        <f>IF(AND('Key_Assumptions_&amp;_Inputs'!$E$21="Non Tax-Exempt Entity",F19=1),(-Community_Solar_Business_Case!$E$23-(Community_Solar_Business_Case!$E$39/2))*0.2*'Key_Assumptions_&amp;_Inputs'!$J$66,0)
+IF(AND('Key_Assumptions_&amp;_Inputs'!$E$21="Non Tax-Exempt Entity",F19=2),(-Community_Solar_Business_Case!$E$23-(Community_Solar_Business_Case!$E$39/2))*0.32*'Key_Assumptions_&amp;_Inputs'!$J$66,0)
+IF(AND('Key_Assumptions_&amp;_Inputs'!$E$21="Non Tax-Exempt Entity",F19=3),(-Community_Solar_Business_Case!$E$23-(Community_Solar_Business_Case!$E$39/2))*0.192*'Key_Assumptions_&amp;_Inputs'!$J$66,0)
+IF(AND('Key_Assumptions_&amp;_Inputs'!$E$21="Non Tax-Exempt Entity",F19=4),(-Community_Solar_Business_Case!$E$23-(Community_Solar_Business_Case!$E$39/2))*0.1152*'Key_Assumptions_&amp;_Inputs'!$J$66,0)
+IF(AND('Key_Assumptions_&amp;_Inputs'!$E$21="Non Tax-Exempt Entity",F19=5),(-Community_Solar_Business_Case!$E$23-(Community_Solar_Business_Case!$E$39/2))*0.1152*'Key_Assumptions_&amp;_Inputs'!$J$66,0)
+IF(AND('Key_Assumptions_&amp;_Inputs'!$E$21="Non Tax-Exempt Entity",F19=6),(-Community_Solar_Business_Case!$E$23-(Community_Solar_Business_Case!$E$39/2))*0.0576*'Key_Assumptions_&amp;_Inputs'!$J$66,0)</f>
        <v>149333.10000000003</v>
      </c>
      <c r="G40" s="191">
        <f>IF(AND('Key_Assumptions_&amp;_Inputs'!$E$21="Non Tax-Exempt Entity",G19=1),(-Community_Solar_Business_Case!$E$23-(Community_Solar_Business_Case!$E$39/2))*0.2*'Key_Assumptions_&amp;_Inputs'!$J$66,0)
+IF(AND('Key_Assumptions_&amp;_Inputs'!$E$21="Non Tax-Exempt Entity",G19=2),(-Community_Solar_Business_Case!$E$23-(Community_Solar_Business_Case!$E$39/2))*0.32*'Key_Assumptions_&amp;_Inputs'!$J$66,0)
+IF(AND('Key_Assumptions_&amp;_Inputs'!$E$21="Non Tax-Exempt Entity",G19=3),(-Community_Solar_Business_Case!$E$23-(Community_Solar_Business_Case!$E$39/2))*0.192*'Key_Assumptions_&amp;_Inputs'!$J$66,0)
+IF(AND('Key_Assumptions_&amp;_Inputs'!$E$21="Non Tax-Exempt Entity",G19=4),(-Community_Solar_Business_Case!$E$23-(Community_Solar_Business_Case!$E$39/2))*0.1152*'Key_Assumptions_&amp;_Inputs'!$J$66,0)
+IF(AND('Key_Assumptions_&amp;_Inputs'!$E$21="Non Tax-Exempt Entity",G19=5),(-Community_Solar_Business_Case!$E$23-(Community_Solar_Business_Case!$E$39/2))*0.1152*'Key_Assumptions_&amp;_Inputs'!$J$66,0)
+IF(AND('Key_Assumptions_&amp;_Inputs'!$E$21="Non Tax-Exempt Entity",G19=6),(-Community_Solar_Business_Case!$E$23-(Community_Solar_Business_Case!$E$39/2))*0.0576*'Key_Assumptions_&amp;_Inputs'!$J$66,0)</f>
        <v>238932.96000000005</v>
      </c>
      <c r="H40" s="191">
        <f>IF(AND('Key_Assumptions_&amp;_Inputs'!$E$21="Non Tax-Exempt Entity",H19=1),(-Community_Solar_Business_Case!$E$23-(Community_Solar_Business_Case!$E$39/2))*0.2*'Key_Assumptions_&amp;_Inputs'!$J$66,0)
+IF(AND('Key_Assumptions_&amp;_Inputs'!$E$21="Non Tax-Exempt Entity",H19=2),(-Community_Solar_Business_Case!$E$23-(Community_Solar_Business_Case!$E$39/2))*0.32*'Key_Assumptions_&amp;_Inputs'!$J$66,0)
+IF(AND('Key_Assumptions_&amp;_Inputs'!$E$21="Non Tax-Exempt Entity",H19=3),(-Community_Solar_Business_Case!$E$23-(Community_Solar_Business_Case!$E$39/2))*0.192*'Key_Assumptions_&amp;_Inputs'!$J$66,0)
+IF(AND('Key_Assumptions_&amp;_Inputs'!$E$21="Non Tax-Exempt Entity",H19=4),(-Community_Solar_Business_Case!$E$23-(Community_Solar_Business_Case!$E$39/2))*0.1152*'Key_Assumptions_&amp;_Inputs'!$J$66,0)
+IF(AND('Key_Assumptions_&amp;_Inputs'!$E$21="Non Tax-Exempt Entity",H19=5),(-Community_Solar_Business_Case!$E$23-(Community_Solar_Business_Case!$E$39/2))*0.1152*'Key_Assumptions_&amp;_Inputs'!$J$66,0)
+IF(AND('Key_Assumptions_&amp;_Inputs'!$E$21="Non Tax-Exempt Entity",H19=6),(-Community_Solar_Business_Case!$E$23-(Community_Solar_Business_Case!$E$39/2))*0.0576*'Key_Assumptions_&amp;_Inputs'!$J$66,0)</f>
        <v>143359.77600000001</v>
      </c>
      <c r="I40" s="191">
        <f>IF(AND('Key_Assumptions_&amp;_Inputs'!$E$21="Non Tax-Exempt Entity",I19=1),(-Community_Solar_Business_Case!$E$23-(Community_Solar_Business_Case!$E$39/2))*0.2*'Key_Assumptions_&amp;_Inputs'!$J$66,0)
+IF(AND('Key_Assumptions_&amp;_Inputs'!$E$21="Non Tax-Exempt Entity",I19=2),(-Community_Solar_Business_Case!$E$23-(Community_Solar_Business_Case!$E$39/2))*0.32*'Key_Assumptions_&amp;_Inputs'!$J$66,0)
+IF(AND('Key_Assumptions_&amp;_Inputs'!$E$21="Non Tax-Exempt Entity",I19=3),(-Community_Solar_Business_Case!$E$23-(Community_Solar_Business_Case!$E$39/2))*0.192*'Key_Assumptions_&amp;_Inputs'!$J$66,0)
+IF(AND('Key_Assumptions_&amp;_Inputs'!$E$21="Non Tax-Exempt Entity",I19=4),(-Community_Solar_Business_Case!$E$23-(Community_Solar_Business_Case!$E$39/2))*0.1152*'Key_Assumptions_&amp;_Inputs'!$J$66,0)
+IF(AND('Key_Assumptions_&amp;_Inputs'!$E$21="Non Tax-Exempt Entity",I19=5),(-Community_Solar_Business_Case!$E$23-(Community_Solar_Business_Case!$E$39/2))*0.1152*'Key_Assumptions_&amp;_Inputs'!$J$66,0)
+IF(AND('Key_Assumptions_&amp;_Inputs'!$E$21="Non Tax-Exempt Entity",I19=6),(-Community_Solar_Business_Case!$E$23-(Community_Solar_Business_Case!$E$39/2))*0.0576*'Key_Assumptions_&amp;_Inputs'!$J$66,0)</f>
        <v>86015.865600000005</v>
      </c>
      <c r="J40" s="191">
        <f>IF(AND('Key_Assumptions_&amp;_Inputs'!$E$21="Non Tax-Exempt Entity",J19=1),(-Community_Solar_Business_Case!$E$23-(Community_Solar_Business_Case!$E$39/2))*0.2*'Key_Assumptions_&amp;_Inputs'!$J$66,0)
+IF(AND('Key_Assumptions_&amp;_Inputs'!$E$21="Non Tax-Exempt Entity",J19=2),(-Community_Solar_Business_Case!$E$23-(Community_Solar_Business_Case!$E$39/2))*0.32*'Key_Assumptions_&amp;_Inputs'!$J$66,0)
+IF(AND('Key_Assumptions_&amp;_Inputs'!$E$21="Non Tax-Exempt Entity",J19=3),(-Community_Solar_Business_Case!$E$23-(Community_Solar_Business_Case!$E$39/2))*0.192*'Key_Assumptions_&amp;_Inputs'!$J$66,0)
+IF(AND('Key_Assumptions_&amp;_Inputs'!$E$21="Non Tax-Exempt Entity",J19=4),(-Community_Solar_Business_Case!$E$23-(Community_Solar_Business_Case!$E$39/2))*0.1152*'Key_Assumptions_&amp;_Inputs'!$J$66,0)
+IF(AND('Key_Assumptions_&amp;_Inputs'!$E$21="Non Tax-Exempt Entity",J19=5),(-Community_Solar_Business_Case!$E$23-(Community_Solar_Business_Case!$E$39/2))*0.1152*'Key_Assumptions_&amp;_Inputs'!$J$66,0)
+IF(AND('Key_Assumptions_&amp;_Inputs'!$E$21="Non Tax-Exempt Entity",J19=6),(-Community_Solar_Business_Case!$E$23-(Community_Solar_Business_Case!$E$39/2))*0.0576*'Key_Assumptions_&amp;_Inputs'!$J$66,0)</f>
        <v>86015.865600000005</v>
      </c>
      <c r="K40" s="191">
        <f>IF(AND('Key_Assumptions_&amp;_Inputs'!$E$21="Non Tax-Exempt Entity",K19=1),(-Community_Solar_Business_Case!$E$23-(Community_Solar_Business_Case!$E$39/2))*0.2*'Key_Assumptions_&amp;_Inputs'!$J$66,0)
+IF(AND('Key_Assumptions_&amp;_Inputs'!$E$21="Non Tax-Exempt Entity",K19=2),(-Community_Solar_Business_Case!$E$23-(Community_Solar_Business_Case!$E$39/2))*0.32*'Key_Assumptions_&amp;_Inputs'!$J$66,0)
+IF(AND('Key_Assumptions_&amp;_Inputs'!$E$21="Non Tax-Exempt Entity",K19=3),(-Community_Solar_Business_Case!$E$23-(Community_Solar_Business_Case!$E$39/2))*0.192*'Key_Assumptions_&amp;_Inputs'!$J$66,0)
+IF(AND('Key_Assumptions_&amp;_Inputs'!$E$21="Non Tax-Exempt Entity",K19=4),(-Community_Solar_Business_Case!$E$23-(Community_Solar_Business_Case!$E$39/2))*0.1152*'Key_Assumptions_&amp;_Inputs'!$J$66,0)
+IF(AND('Key_Assumptions_&amp;_Inputs'!$E$21="Non Tax-Exempt Entity",K19=5),(-Community_Solar_Business_Case!$E$23-(Community_Solar_Business_Case!$E$39/2))*0.1152*'Key_Assumptions_&amp;_Inputs'!$J$66,0)
+IF(AND('Key_Assumptions_&amp;_Inputs'!$E$21="Non Tax-Exempt Entity",K19=6),(-Community_Solar_Business_Case!$E$23-(Community_Solar_Business_Case!$E$39/2))*0.0576*'Key_Assumptions_&amp;_Inputs'!$J$66,0)</f>
        <v>43007.932800000002</v>
      </c>
      <c r="L40" s="191">
        <f>IF(AND('Key_Assumptions_&amp;_Inputs'!$E$21="Non Tax-Exempt Entity",L19=1),(-Community_Solar_Business_Case!$E$23-(Community_Solar_Business_Case!$E$39/2))*0.2*'Key_Assumptions_&amp;_Inputs'!$J$66,0)
+IF(AND('Key_Assumptions_&amp;_Inputs'!$E$21="Non Tax-Exempt Entity",L19=2),(-Community_Solar_Business_Case!$E$23-(Community_Solar_Business_Case!$E$39/2))*0.32*'Key_Assumptions_&amp;_Inputs'!$J$66,0)
+IF(AND('Key_Assumptions_&amp;_Inputs'!$E$21="Non Tax-Exempt Entity",L19=3),(-Community_Solar_Business_Case!$E$23-(Community_Solar_Business_Case!$E$39/2))*0.192*'Key_Assumptions_&amp;_Inputs'!$J$66,0)
+IF(AND('Key_Assumptions_&amp;_Inputs'!$E$21="Non Tax-Exempt Entity",L19=4),(-Community_Solar_Business_Case!$E$23-(Community_Solar_Business_Case!$E$39/2))*0.1152*'Key_Assumptions_&amp;_Inputs'!$J$66,0)
+IF(AND('Key_Assumptions_&amp;_Inputs'!$E$21="Non Tax-Exempt Entity",L19=5),(-Community_Solar_Business_Case!$E$23-(Community_Solar_Business_Case!$E$39/2))*0.1152*'Key_Assumptions_&amp;_Inputs'!$J$66,0)
+IF(AND('Key_Assumptions_&amp;_Inputs'!$E$21="Non Tax-Exempt Entity",L19=6),(-Community_Solar_Business_Case!$E$23-(Community_Solar_Business_Case!$E$39/2))*0.0576*'Key_Assumptions_&amp;_Inputs'!$J$66,0)</f>
        <v>0</v>
      </c>
      <c r="M40" s="191">
        <f>IF(AND('Key_Assumptions_&amp;_Inputs'!$E$21="Non Tax-Exempt Entity",M19=1),(-Community_Solar_Business_Case!$E$23-(Community_Solar_Business_Case!$E$39/2))*0.2*'Key_Assumptions_&amp;_Inputs'!$J$66,0)
+IF(AND('Key_Assumptions_&amp;_Inputs'!$E$21="Non Tax-Exempt Entity",M19=2),(-Community_Solar_Business_Case!$E$23-(Community_Solar_Business_Case!$E$39/2))*0.32*'Key_Assumptions_&amp;_Inputs'!$J$66,0)
+IF(AND('Key_Assumptions_&amp;_Inputs'!$E$21="Non Tax-Exempt Entity",M19=3),(-Community_Solar_Business_Case!$E$23-(Community_Solar_Business_Case!$E$39/2))*0.192*'Key_Assumptions_&amp;_Inputs'!$J$66,0)
+IF(AND('Key_Assumptions_&amp;_Inputs'!$E$21="Non Tax-Exempt Entity",M19=4),(-Community_Solar_Business_Case!$E$23-(Community_Solar_Business_Case!$E$39/2))*0.1152*'Key_Assumptions_&amp;_Inputs'!$J$66,0)
+IF(AND('Key_Assumptions_&amp;_Inputs'!$E$21="Non Tax-Exempt Entity",M19=5),(-Community_Solar_Business_Case!$E$23-(Community_Solar_Business_Case!$E$39/2))*0.1152*'Key_Assumptions_&amp;_Inputs'!$J$66,0)
+IF(AND('Key_Assumptions_&amp;_Inputs'!$E$21="Non Tax-Exempt Entity",M19=6),(-Community_Solar_Business_Case!$E$23-(Community_Solar_Business_Case!$E$39/2))*0.0576*'Key_Assumptions_&amp;_Inputs'!$J$66,0)</f>
        <v>0</v>
      </c>
      <c r="N40" s="191">
        <f>IF(AND('Key_Assumptions_&amp;_Inputs'!$E$21="Non Tax-Exempt Entity",N19=1),(-Community_Solar_Business_Case!$E$23-(Community_Solar_Business_Case!$E$39/2))*0.2*'Key_Assumptions_&amp;_Inputs'!$J$66,0)
+IF(AND('Key_Assumptions_&amp;_Inputs'!$E$21="Non Tax-Exempt Entity",N19=2),(-Community_Solar_Business_Case!$E$23-(Community_Solar_Business_Case!$E$39/2))*0.32*'Key_Assumptions_&amp;_Inputs'!$J$66,0)
+IF(AND('Key_Assumptions_&amp;_Inputs'!$E$21="Non Tax-Exempt Entity",N19=3),(-Community_Solar_Business_Case!$E$23-(Community_Solar_Business_Case!$E$39/2))*0.192*'Key_Assumptions_&amp;_Inputs'!$J$66,0)
+IF(AND('Key_Assumptions_&amp;_Inputs'!$E$21="Non Tax-Exempt Entity",N19=4),(-Community_Solar_Business_Case!$E$23-(Community_Solar_Business_Case!$E$39/2))*0.1152*'Key_Assumptions_&amp;_Inputs'!$J$66,0)
+IF(AND('Key_Assumptions_&amp;_Inputs'!$E$21="Non Tax-Exempt Entity",N19=5),(-Community_Solar_Business_Case!$E$23-(Community_Solar_Business_Case!$E$39/2))*0.1152*'Key_Assumptions_&amp;_Inputs'!$J$66,0)
+IF(AND('Key_Assumptions_&amp;_Inputs'!$E$21="Non Tax-Exempt Entity",N19=6),(-Community_Solar_Business_Case!$E$23-(Community_Solar_Business_Case!$E$39/2))*0.0576*'Key_Assumptions_&amp;_Inputs'!$J$66,0)</f>
        <v>0</v>
      </c>
      <c r="O40" s="191">
        <f>IF(AND('Key_Assumptions_&amp;_Inputs'!$E$21="Non Tax-Exempt Entity",O19=1),(-Community_Solar_Business_Case!$E$23-(Community_Solar_Business_Case!$E$39/2))*0.2*'Key_Assumptions_&amp;_Inputs'!$J$66,0)
+IF(AND('Key_Assumptions_&amp;_Inputs'!$E$21="Non Tax-Exempt Entity",O19=2),(-Community_Solar_Business_Case!$E$23-(Community_Solar_Business_Case!$E$39/2))*0.32*'Key_Assumptions_&amp;_Inputs'!$J$66,0)
+IF(AND('Key_Assumptions_&amp;_Inputs'!$E$21="Non Tax-Exempt Entity",O19=3),(-Community_Solar_Business_Case!$E$23-(Community_Solar_Business_Case!$E$39/2))*0.192*'Key_Assumptions_&amp;_Inputs'!$J$66,0)
+IF(AND('Key_Assumptions_&amp;_Inputs'!$E$21="Non Tax-Exempt Entity",O19=4),(-Community_Solar_Business_Case!$E$23-(Community_Solar_Business_Case!$E$39/2))*0.1152*'Key_Assumptions_&amp;_Inputs'!$J$66,0)
+IF(AND('Key_Assumptions_&amp;_Inputs'!$E$21="Non Tax-Exempt Entity",O19=5),(-Community_Solar_Business_Case!$E$23-(Community_Solar_Business_Case!$E$39/2))*0.1152*'Key_Assumptions_&amp;_Inputs'!$J$66,0)
+IF(AND('Key_Assumptions_&amp;_Inputs'!$E$21="Non Tax-Exempt Entity",O19=6),(-Community_Solar_Business_Case!$E$23-(Community_Solar_Business_Case!$E$39/2))*0.0576*'Key_Assumptions_&amp;_Inputs'!$J$66,0)</f>
        <v>0</v>
      </c>
      <c r="P40" s="191">
        <f>IF(AND('Key_Assumptions_&amp;_Inputs'!$E$21="Non Tax-Exempt Entity",P19=1),(-Community_Solar_Business_Case!$E$23-(Community_Solar_Business_Case!$E$39/2))*0.2*'Key_Assumptions_&amp;_Inputs'!$J$66,0)
+IF(AND('Key_Assumptions_&amp;_Inputs'!$E$21="Non Tax-Exempt Entity",P19=2),(-Community_Solar_Business_Case!$E$23-(Community_Solar_Business_Case!$E$39/2))*0.32*'Key_Assumptions_&amp;_Inputs'!$J$66,0)
+IF(AND('Key_Assumptions_&amp;_Inputs'!$E$21="Non Tax-Exempt Entity",P19=3),(-Community_Solar_Business_Case!$E$23-(Community_Solar_Business_Case!$E$39/2))*0.192*'Key_Assumptions_&amp;_Inputs'!$J$66,0)
+IF(AND('Key_Assumptions_&amp;_Inputs'!$E$21="Non Tax-Exempt Entity",P19=4),(-Community_Solar_Business_Case!$E$23-(Community_Solar_Business_Case!$E$39/2))*0.1152*'Key_Assumptions_&amp;_Inputs'!$J$66,0)
+IF(AND('Key_Assumptions_&amp;_Inputs'!$E$21="Non Tax-Exempt Entity",P19=5),(-Community_Solar_Business_Case!$E$23-(Community_Solar_Business_Case!$E$39/2))*0.1152*'Key_Assumptions_&amp;_Inputs'!$J$66,0)
+IF(AND('Key_Assumptions_&amp;_Inputs'!$E$21="Non Tax-Exempt Entity",P19=6),(-Community_Solar_Business_Case!$E$23-(Community_Solar_Business_Case!$E$39/2))*0.0576*'Key_Assumptions_&amp;_Inputs'!$J$66,0)</f>
        <v>0</v>
      </c>
      <c r="Q40" s="191">
        <f>IF(AND('Key_Assumptions_&amp;_Inputs'!$E$21="Non Tax-Exempt Entity",Q19=1),(-Community_Solar_Business_Case!$E$23-(Community_Solar_Business_Case!$E$39/2))*0.2*'Key_Assumptions_&amp;_Inputs'!$J$66,0)
+IF(AND('Key_Assumptions_&amp;_Inputs'!$E$21="Non Tax-Exempt Entity",Q19=2),(-Community_Solar_Business_Case!$E$23-(Community_Solar_Business_Case!$E$39/2))*0.32*'Key_Assumptions_&amp;_Inputs'!$J$66,0)
+IF(AND('Key_Assumptions_&amp;_Inputs'!$E$21="Non Tax-Exempt Entity",Q19=3),(-Community_Solar_Business_Case!$E$23-(Community_Solar_Business_Case!$E$39/2))*0.192*'Key_Assumptions_&amp;_Inputs'!$J$66,0)
+IF(AND('Key_Assumptions_&amp;_Inputs'!$E$21="Non Tax-Exempt Entity",Q19=4),(-Community_Solar_Business_Case!$E$23-(Community_Solar_Business_Case!$E$39/2))*0.1152*'Key_Assumptions_&amp;_Inputs'!$J$66,0)
+IF(AND('Key_Assumptions_&amp;_Inputs'!$E$21="Non Tax-Exempt Entity",Q19=5),(-Community_Solar_Business_Case!$E$23-(Community_Solar_Business_Case!$E$39/2))*0.1152*'Key_Assumptions_&amp;_Inputs'!$J$66,0)
+IF(AND('Key_Assumptions_&amp;_Inputs'!$E$21="Non Tax-Exempt Entity",Q19=6),(-Community_Solar_Business_Case!$E$23-(Community_Solar_Business_Case!$E$39/2))*0.0576*'Key_Assumptions_&amp;_Inputs'!$J$66,0)</f>
        <v>0</v>
      </c>
      <c r="R40" s="191">
        <f>IF(AND('Key_Assumptions_&amp;_Inputs'!$E$21="Non Tax-Exempt Entity",R19=1),(-Community_Solar_Business_Case!$E$23-(Community_Solar_Business_Case!$E$39/2))*0.2*'Key_Assumptions_&amp;_Inputs'!$J$66,0)
+IF(AND('Key_Assumptions_&amp;_Inputs'!$E$21="Non Tax-Exempt Entity",R19=2),(-Community_Solar_Business_Case!$E$23-(Community_Solar_Business_Case!$E$39/2))*0.32*'Key_Assumptions_&amp;_Inputs'!$J$66,0)
+IF(AND('Key_Assumptions_&amp;_Inputs'!$E$21="Non Tax-Exempt Entity",R19=3),(-Community_Solar_Business_Case!$E$23-(Community_Solar_Business_Case!$E$39/2))*0.192*'Key_Assumptions_&amp;_Inputs'!$J$66,0)
+IF(AND('Key_Assumptions_&amp;_Inputs'!$E$21="Non Tax-Exempt Entity",R19=4),(-Community_Solar_Business_Case!$E$23-(Community_Solar_Business_Case!$E$39/2))*0.1152*'Key_Assumptions_&amp;_Inputs'!$J$66,0)
+IF(AND('Key_Assumptions_&amp;_Inputs'!$E$21="Non Tax-Exempt Entity",R19=5),(-Community_Solar_Business_Case!$E$23-(Community_Solar_Business_Case!$E$39/2))*0.1152*'Key_Assumptions_&amp;_Inputs'!$J$66,0)
+IF(AND('Key_Assumptions_&amp;_Inputs'!$E$21="Non Tax-Exempt Entity",R19=6),(-Community_Solar_Business_Case!$E$23-(Community_Solar_Business_Case!$E$39/2))*0.0576*'Key_Assumptions_&amp;_Inputs'!$J$66,0)</f>
        <v>0</v>
      </c>
      <c r="S40" s="191">
        <f>IF(AND('Key_Assumptions_&amp;_Inputs'!$E$21="Non Tax-Exempt Entity",S19=1),(-Community_Solar_Business_Case!$E$23-(Community_Solar_Business_Case!$E$39/2))*0.2*'Key_Assumptions_&amp;_Inputs'!$J$66,0)
+IF(AND('Key_Assumptions_&amp;_Inputs'!$E$21="Non Tax-Exempt Entity",S19=2),(-Community_Solar_Business_Case!$E$23-(Community_Solar_Business_Case!$E$39/2))*0.32*'Key_Assumptions_&amp;_Inputs'!$J$66,0)
+IF(AND('Key_Assumptions_&amp;_Inputs'!$E$21="Non Tax-Exempt Entity",S19=3),(-Community_Solar_Business_Case!$E$23-(Community_Solar_Business_Case!$E$39/2))*0.192*'Key_Assumptions_&amp;_Inputs'!$J$66,0)
+IF(AND('Key_Assumptions_&amp;_Inputs'!$E$21="Non Tax-Exempt Entity",S19=4),(-Community_Solar_Business_Case!$E$23-(Community_Solar_Business_Case!$E$39/2))*0.1152*'Key_Assumptions_&amp;_Inputs'!$J$66,0)
+IF(AND('Key_Assumptions_&amp;_Inputs'!$E$21="Non Tax-Exempt Entity",S19=5),(-Community_Solar_Business_Case!$E$23-(Community_Solar_Business_Case!$E$39/2))*0.1152*'Key_Assumptions_&amp;_Inputs'!$J$66,0)
+IF(AND('Key_Assumptions_&amp;_Inputs'!$E$21="Non Tax-Exempt Entity",S19=6),(-Community_Solar_Business_Case!$E$23-(Community_Solar_Business_Case!$E$39/2))*0.0576*'Key_Assumptions_&amp;_Inputs'!$J$66,0)</f>
        <v>0</v>
      </c>
      <c r="T40" s="191">
        <f>IF(AND('Key_Assumptions_&amp;_Inputs'!$E$21="Non Tax-Exempt Entity",T19=1),(-Community_Solar_Business_Case!$E$23-(Community_Solar_Business_Case!$E$39/2))*0.2*'Key_Assumptions_&amp;_Inputs'!$J$66,0)
+IF(AND('Key_Assumptions_&amp;_Inputs'!$E$21="Non Tax-Exempt Entity",T19=2),(-Community_Solar_Business_Case!$E$23-(Community_Solar_Business_Case!$E$39/2))*0.32*'Key_Assumptions_&amp;_Inputs'!$J$66,0)
+IF(AND('Key_Assumptions_&amp;_Inputs'!$E$21="Non Tax-Exempt Entity",T19=3),(-Community_Solar_Business_Case!$E$23-(Community_Solar_Business_Case!$E$39/2))*0.192*'Key_Assumptions_&amp;_Inputs'!$J$66,0)
+IF(AND('Key_Assumptions_&amp;_Inputs'!$E$21="Non Tax-Exempt Entity",T19=4),(-Community_Solar_Business_Case!$E$23-(Community_Solar_Business_Case!$E$39/2))*0.1152*'Key_Assumptions_&amp;_Inputs'!$J$66,0)
+IF(AND('Key_Assumptions_&amp;_Inputs'!$E$21="Non Tax-Exempt Entity",T19=5),(-Community_Solar_Business_Case!$E$23-(Community_Solar_Business_Case!$E$39/2))*0.1152*'Key_Assumptions_&amp;_Inputs'!$J$66,0)
+IF(AND('Key_Assumptions_&amp;_Inputs'!$E$21="Non Tax-Exempt Entity",T19=6),(-Community_Solar_Business_Case!$E$23-(Community_Solar_Business_Case!$E$39/2))*0.0576*'Key_Assumptions_&amp;_Inputs'!$J$66,0)</f>
        <v>0</v>
      </c>
      <c r="U40" s="191">
        <f>IF(AND('Key_Assumptions_&amp;_Inputs'!$E$21="Non Tax-Exempt Entity",U19=1),(-Community_Solar_Business_Case!$E$23-(Community_Solar_Business_Case!$E$39/2))*0.2*'Key_Assumptions_&amp;_Inputs'!$J$66,0)
+IF(AND('Key_Assumptions_&amp;_Inputs'!$E$21="Non Tax-Exempt Entity",U19=2),(-Community_Solar_Business_Case!$E$23-(Community_Solar_Business_Case!$E$39/2))*0.32*'Key_Assumptions_&amp;_Inputs'!$J$66,0)
+IF(AND('Key_Assumptions_&amp;_Inputs'!$E$21="Non Tax-Exempt Entity",U19=3),(-Community_Solar_Business_Case!$E$23-(Community_Solar_Business_Case!$E$39/2))*0.192*'Key_Assumptions_&amp;_Inputs'!$J$66,0)
+IF(AND('Key_Assumptions_&amp;_Inputs'!$E$21="Non Tax-Exempt Entity",U19=4),(-Community_Solar_Business_Case!$E$23-(Community_Solar_Business_Case!$E$39/2))*0.1152*'Key_Assumptions_&amp;_Inputs'!$J$66,0)
+IF(AND('Key_Assumptions_&amp;_Inputs'!$E$21="Non Tax-Exempt Entity",U19=5),(-Community_Solar_Business_Case!$E$23-(Community_Solar_Business_Case!$E$39/2))*0.1152*'Key_Assumptions_&amp;_Inputs'!$J$66,0)
+IF(AND('Key_Assumptions_&amp;_Inputs'!$E$21="Non Tax-Exempt Entity",U19=6),(-Community_Solar_Business_Case!$E$23-(Community_Solar_Business_Case!$E$39/2))*0.0576*'Key_Assumptions_&amp;_Inputs'!$J$66,0)</f>
        <v>0</v>
      </c>
      <c r="V40" s="191">
        <f>IF(AND('Key_Assumptions_&amp;_Inputs'!$E$21="Non Tax-Exempt Entity",V19=1),(-Community_Solar_Business_Case!$E$23-(Community_Solar_Business_Case!$E$39/2))*0.2*'Key_Assumptions_&amp;_Inputs'!$J$66,0)
+IF(AND('Key_Assumptions_&amp;_Inputs'!$E$21="Non Tax-Exempt Entity",V19=2),(-Community_Solar_Business_Case!$E$23-(Community_Solar_Business_Case!$E$39/2))*0.32*'Key_Assumptions_&amp;_Inputs'!$J$66,0)
+IF(AND('Key_Assumptions_&amp;_Inputs'!$E$21="Non Tax-Exempt Entity",V19=3),(-Community_Solar_Business_Case!$E$23-(Community_Solar_Business_Case!$E$39/2))*0.192*'Key_Assumptions_&amp;_Inputs'!$J$66,0)
+IF(AND('Key_Assumptions_&amp;_Inputs'!$E$21="Non Tax-Exempt Entity",V19=4),(-Community_Solar_Business_Case!$E$23-(Community_Solar_Business_Case!$E$39/2))*0.1152*'Key_Assumptions_&amp;_Inputs'!$J$66,0)
+IF(AND('Key_Assumptions_&amp;_Inputs'!$E$21="Non Tax-Exempt Entity",V19=5),(-Community_Solar_Business_Case!$E$23-(Community_Solar_Business_Case!$E$39/2))*0.1152*'Key_Assumptions_&amp;_Inputs'!$J$66,0)
+IF(AND('Key_Assumptions_&amp;_Inputs'!$E$21="Non Tax-Exempt Entity",V19=6),(-Community_Solar_Business_Case!$E$23-(Community_Solar_Business_Case!$E$39/2))*0.0576*'Key_Assumptions_&amp;_Inputs'!$J$66,0)</f>
        <v>0</v>
      </c>
      <c r="W40" s="191">
        <f>IF(AND('Key_Assumptions_&amp;_Inputs'!$E$21="Non Tax-Exempt Entity",W19=1),(-Community_Solar_Business_Case!$E$23-(Community_Solar_Business_Case!$E$39/2))*0.2*'Key_Assumptions_&amp;_Inputs'!$J$66,0)
+IF(AND('Key_Assumptions_&amp;_Inputs'!$E$21="Non Tax-Exempt Entity",W19=2),(-Community_Solar_Business_Case!$E$23-(Community_Solar_Business_Case!$E$39/2))*0.32*'Key_Assumptions_&amp;_Inputs'!$J$66,0)
+IF(AND('Key_Assumptions_&amp;_Inputs'!$E$21="Non Tax-Exempt Entity",W19=3),(-Community_Solar_Business_Case!$E$23-(Community_Solar_Business_Case!$E$39/2))*0.192*'Key_Assumptions_&amp;_Inputs'!$J$66,0)
+IF(AND('Key_Assumptions_&amp;_Inputs'!$E$21="Non Tax-Exempt Entity",W19=4),(-Community_Solar_Business_Case!$E$23-(Community_Solar_Business_Case!$E$39/2))*0.1152*'Key_Assumptions_&amp;_Inputs'!$J$66,0)
+IF(AND('Key_Assumptions_&amp;_Inputs'!$E$21="Non Tax-Exempt Entity",W19=5),(-Community_Solar_Business_Case!$E$23-(Community_Solar_Business_Case!$E$39/2))*0.1152*'Key_Assumptions_&amp;_Inputs'!$J$66,0)
+IF(AND('Key_Assumptions_&amp;_Inputs'!$E$21="Non Tax-Exempt Entity",W19=6),(-Community_Solar_Business_Case!$E$23-(Community_Solar_Business_Case!$E$39/2))*0.0576*'Key_Assumptions_&amp;_Inputs'!$J$66,0)</f>
        <v>0</v>
      </c>
      <c r="X40" s="191">
        <f>IF(AND('Key_Assumptions_&amp;_Inputs'!$E$21="Non Tax-Exempt Entity",X19=1),(-Community_Solar_Business_Case!$E$23-(Community_Solar_Business_Case!$E$39/2))*0.2*'Key_Assumptions_&amp;_Inputs'!$J$66,0)
+IF(AND('Key_Assumptions_&amp;_Inputs'!$E$21="Non Tax-Exempt Entity",X19=2),(-Community_Solar_Business_Case!$E$23-(Community_Solar_Business_Case!$E$39/2))*0.32*'Key_Assumptions_&amp;_Inputs'!$J$66,0)
+IF(AND('Key_Assumptions_&amp;_Inputs'!$E$21="Non Tax-Exempt Entity",X19=3),(-Community_Solar_Business_Case!$E$23-(Community_Solar_Business_Case!$E$39/2))*0.192*'Key_Assumptions_&amp;_Inputs'!$J$66,0)
+IF(AND('Key_Assumptions_&amp;_Inputs'!$E$21="Non Tax-Exempt Entity",X19=4),(-Community_Solar_Business_Case!$E$23-(Community_Solar_Business_Case!$E$39/2))*0.1152*'Key_Assumptions_&amp;_Inputs'!$J$66,0)
+IF(AND('Key_Assumptions_&amp;_Inputs'!$E$21="Non Tax-Exempt Entity",X19=5),(-Community_Solar_Business_Case!$E$23-(Community_Solar_Business_Case!$E$39/2))*0.1152*'Key_Assumptions_&amp;_Inputs'!$J$66,0)
+IF(AND('Key_Assumptions_&amp;_Inputs'!$E$21="Non Tax-Exempt Entity",X19=6),(-Community_Solar_Business_Case!$E$23-(Community_Solar_Business_Case!$E$39/2))*0.0576*'Key_Assumptions_&amp;_Inputs'!$J$66,0)</f>
        <v>0</v>
      </c>
      <c r="Y40" s="191">
        <f>IF(AND('Key_Assumptions_&amp;_Inputs'!$E$21="Non Tax-Exempt Entity",Y19=1),(-Community_Solar_Business_Case!$E$23-(Community_Solar_Business_Case!$E$39/2))*0.2*'Key_Assumptions_&amp;_Inputs'!$J$66,0)
+IF(AND('Key_Assumptions_&amp;_Inputs'!$E$21="Non Tax-Exempt Entity",Y19=2),(-Community_Solar_Business_Case!$E$23-(Community_Solar_Business_Case!$E$39/2))*0.32*'Key_Assumptions_&amp;_Inputs'!$J$66,0)
+IF(AND('Key_Assumptions_&amp;_Inputs'!$E$21="Non Tax-Exempt Entity",Y19=3),(-Community_Solar_Business_Case!$E$23-(Community_Solar_Business_Case!$E$39/2))*0.192*'Key_Assumptions_&amp;_Inputs'!$J$66,0)
+IF(AND('Key_Assumptions_&amp;_Inputs'!$E$21="Non Tax-Exempt Entity",Y19=4),(-Community_Solar_Business_Case!$E$23-(Community_Solar_Business_Case!$E$39/2))*0.1152*'Key_Assumptions_&amp;_Inputs'!$J$66,0)
+IF(AND('Key_Assumptions_&amp;_Inputs'!$E$21="Non Tax-Exempt Entity",Y19=5),(-Community_Solar_Business_Case!$E$23-(Community_Solar_Business_Case!$E$39/2))*0.1152*'Key_Assumptions_&amp;_Inputs'!$J$66,0)
+IF(AND('Key_Assumptions_&amp;_Inputs'!$E$21="Non Tax-Exempt Entity",Y19=6),(-Community_Solar_Business_Case!$E$23-(Community_Solar_Business_Case!$E$39/2))*0.0576*'Key_Assumptions_&amp;_Inputs'!$J$66,0)</f>
        <v>0</v>
      </c>
      <c r="Z40" s="191">
        <f>IF(AND('Key_Assumptions_&amp;_Inputs'!$E$21="Non Tax-Exempt Entity",Z19=1),(-Community_Solar_Business_Case!$E$23-(Community_Solar_Business_Case!$E$39/2))*0.2*'Key_Assumptions_&amp;_Inputs'!$J$66,0)
+IF(AND('Key_Assumptions_&amp;_Inputs'!$E$21="Non Tax-Exempt Entity",Z19=2),(-Community_Solar_Business_Case!$E$23-(Community_Solar_Business_Case!$E$39/2))*0.32*'Key_Assumptions_&amp;_Inputs'!$J$66,0)
+IF(AND('Key_Assumptions_&amp;_Inputs'!$E$21="Non Tax-Exempt Entity",Z19=3),(-Community_Solar_Business_Case!$E$23-(Community_Solar_Business_Case!$E$39/2))*0.192*'Key_Assumptions_&amp;_Inputs'!$J$66,0)
+IF(AND('Key_Assumptions_&amp;_Inputs'!$E$21="Non Tax-Exempt Entity",Z19=4),(-Community_Solar_Business_Case!$E$23-(Community_Solar_Business_Case!$E$39/2))*0.1152*'Key_Assumptions_&amp;_Inputs'!$J$66,0)
+IF(AND('Key_Assumptions_&amp;_Inputs'!$E$21="Non Tax-Exempt Entity",Z19=5),(-Community_Solar_Business_Case!$E$23-(Community_Solar_Business_Case!$E$39/2))*0.1152*'Key_Assumptions_&amp;_Inputs'!$J$66,0)
+IF(AND('Key_Assumptions_&amp;_Inputs'!$E$21="Non Tax-Exempt Entity",Z19=6),(-Community_Solar_Business_Case!$E$23-(Community_Solar_Business_Case!$E$39/2))*0.0576*'Key_Assumptions_&amp;_Inputs'!$J$66,0)</f>
        <v>0</v>
      </c>
      <c r="AA40" s="191">
        <f>IF(AND('Key_Assumptions_&amp;_Inputs'!$E$21="Non Tax-Exempt Entity",AA19=1),(-Community_Solar_Business_Case!$E$23-(Community_Solar_Business_Case!$E$39/2))*0.2*'Key_Assumptions_&amp;_Inputs'!$J$66,0)
+IF(AND('Key_Assumptions_&amp;_Inputs'!$E$21="Non Tax-Exempt Entity",AA19=2),(-Community_Solar_Business_Case!$E$23-(Community_Solar_Business_Case!$E$39/2))*0.32*'Key_Assumptions_&amp;_Inputs'!$J$66,0)
+IF(AND('Key_Assumptions_&amp;_Inputs'!$E$21="Non Tax-Exempt Entity",AA19=3),(-Community_Solar_Business_Case!$E$23-(Community_Solar_Business_Case!$E$39/2))*0.192*'Key_Assumptions_&amp;_Inputs'!$J$66,0)
+IF(AND('Key_Assumptions_&amp;_Inputs'!$E$21="Non Tax-Exempt Entity",AA19=4),(-Community_Solar_Business_Case!$E$23-(Community_Solar_Business_Case!$E$39/2))*0.1152*'Key_Assumptions_&amp;_Inputs'!$J$66,0)
+IF(AND('Key_Assumptions_&amp;_Inputs'!$E$21="Non Tax-Exempt Entity",AA19=5),(-Community_Solar_Business_Case!$E$23-(Community_Solar_Business_Case!$E$39/2))*0.1152*'Key_Assumptions_&amp;_Inputs'!$J$66,0)
+IF(AND('Key_Assumptions_&amp;_Inputs'!$E$21="Non Tax-Exempt Entity",AA19=6),(-Community_Solar_Business_Case!$E$23-(Community_Solar_Business_Case!$E$39/2))*0.0576*'Key_Assumptions_&amp;_Inputs'!$J$66,0)</f>
        <v>0</v>
      </c>
      <c r="AB40" s="191">
        <f>IF(AND('Key_Assumptions_&amp;_Inputs'!$E$21="Non Tax-Exempt Entity",AB19=1),(-Community_Solar_Business_Case!$E$23-(Community_Solar_Business_Case!$E$39/2))*0.2*'Key_Assumptions_&amp;_Inputs'!$J$66,0)
+IF(AND('Key_Assumptions_&amp;_Inputs'!$E$21="Non Tax-Exempt Entity",AB19=2),(-Community_Solar_Business_Case!$E$23-(Community_Solar_Business_Case!$E$39/2))*0.32*'Key_Assumptions_&amp;_Inputs'!$J$66,0)
+IF(AND('Key_Assumptions_&amp;_Inputs'!$E$21="Non Tax-Exempt Entity",AB19=3),(-Community_Solar_Business_Case!$E$23-(Community_Solar_Business_Case!$E$39/2))*0.192*'Key_Assumptions_&amp;_Inputs'!$J$66,0)
+IF(AND('Key_Assumptions_&amp;_Inputs'!$E$21="Non Tax-Exempt Entity",AB19=4),(-Community_Solar_Business_Case!$E$23-(Community_Solar_Business_Case!$E$39/2))*0.1152*'Key_Assumptions_&amp;_Inputs'!$J$66,0)
+IF(AND('Key_Assumptions_&amp;_Inputs'!$E$21="Non Tax-Exempt Entity",AB19=5),(-Community_Solar_Business_Case!$E$23-(Community_Solar_Business_Case!$E$39/2))*0.1152*'Key_Assumptions_&amp;_Inputs'!$J$66,0)
+IF(AND('Key_Assumptions_&amp;_Inputs'!$E$21="Non Tax-Exempt Entity",AB19=6),(-Community_Solar_Business_Case!$E$23-(Community_Solar_Business_Case!$E$39/2))*0.0576*'Key_Assumptions_&amp;_Inputs'!$J$66,0)</f>
        <v>0</v>
      </c>
      <c r="AC40" s="191">
        <f>IF(AND('Key_Assumptions_&amp;_Inputs'!$E$21="Non Tax-Exempt Entity",AC19=1),(-Community_Solar_Business_Case!$E$23-(Community_Solar_Business_Case!$E$39/2))*0.2*'Key_Assumptions_&amp;_Inputs'!$J$66,0)
+IF(AND('Key_Assumptions_&amp;_Inputs'!$E$21="Non Tax-Exempt Entity",AC19=2),(-Community_Solar_Business_Case!$E$23-(Community_Solar_Business_Case!$E$39/2))*0.32*'Key_Assumptions_&amp;_Inputs'!$J$66,0)
+IF(AND('Key_Assumptions_&amp;_Inputs'!$E$21="Non Tax-Exempt Entity",AC19=3),(-Community_Solar_Business_Case!$E$23-(Community_Solar_Business_Case!$E$39/2))*0.192*'Key_Assumptions_&amp;_Inputs'!$J$66,0)
+IF(AND('Key_Assumptions_&amp;_Inputs'!$E$21="Non Tax-Exempt Entity",AC19=4),(-Community_Solar_Business_Case!$E$23-(Community_Solar_Business_Case!$E$39/2))*0.1152*'Key_Assumptions_&amp;_Inputs'!$J$66,0)
+IF(AND('Key_Assumptions_&amp;_Inputs'!$E$21="Non Tax-Exempt Entity",AC19=5),(-Community_Solar_Business_Case!$E$23-(Community_Solar_Business_Case!$E$39/2))*0.1152*'Key_Assumptions_&amp;_Inputs'!$J$66,0)
+IF(AND('Key_Assumptions_&amp;_Inputs'!$E$21="Non Tax-Exempt Entity",AC19=6),(-Community_Solar_Business_Case!$E$23-(Community_Solar_Business_Case!$E$39/2))*0.0576*'Key_Assumptions_&amp;_Inputs'!$J$66,0)</f>
        <v>0</v>
      </c>
      <c r="AD40" s="192">
        <f>IF(AND('Key_Assumptions_&amp;_Inputs'!$E$21="Non Tax-Exempt Entity",AD19=1),(-Community_Solar_Business_Case!$E$23-(Community_Solar_Business_Case!$E$39/2))*0.2*'Key_Assumptions_&amp;_Inputs'!$J$66,0)
+IF(AND('Key_Assumptions_&amp;_Inputs'!$E$21="Non Tax-Exempt Entity",AD19=2),(-Community_Solar_Business_Case!$E$23-(Community_Solar_Business_Case!$E$39/2))*0.32*'Key_Assumptions_&amp;_Inputs'!$J$66,0)
+IF(AND('Key_Assumptions_&amp;_Inputs'!$E$21="Non Tax-Exempt Entity",AD19=3),(-Community_Solar_Business_Case!$E$23-(Community_Solar_Business_Case!$E$39/2))*0.192*'Key_Assumptions_&amp;_Inputs'!$J$66,0)
+IF(AND('Key_Assumptions_&amp;_Inputs'!$E$21="Non Tax-Exempt Entity",AD19=4),(-Community_Solar_Business_Case!$E$23-(Community_Solar_Business_Case!$E$39/2))*0.1152*'Key_Assumptions_&amp;_Inputs'!$J$66,0)
+IF(AND('Key_Assumptions_&amp;_Inputs'!$E$21="Non Tax-Exempt Entity",AD19=5),(-Community_Solar_Business_Case!$E$23-(Community_Solar_Business_Case!$E$39/2))*0.1152*'Key_Assumptions_&amp;_Inputs'!$J$66,0)
+IF(AND('Key_Assumptions_&amp;_Inputs'!$E$21="Non Tax-Exempt Entity",AD19=6),(-Community_Solar_Business_Case!$E$23-(Community_Solar_Business_Case!$E$39/2))*0.0576*'Key_Assumptions_&amp;_Inputs'!$J$66,0)</f>
        <v>0</v>
      </c>
      <c r="AE40" s="193">
        <f>SUM(E40:AD40)</f>
        <v>746665.50000000012</v>
      </c>
      <c r="AG40" s="92"/>
    </row>
    <row r="41" spans="2:33" x14ac:dyDescent="0.25">
      <c r="B41" s="137" t="s">
        <v>318</v>
      </c>
      <c r="C41" s="133"/>
      <c r="D41" s="89" t="s">
        <v>0</v>
      </c>
      <c r="E41" s="105">
        <f>IF(E19=0,'Key_Assumptions_&amp;_Inputs'!$J$60*'Key_Assumptions_&amp;_Inputs'!$E$18*1000,0)</f>
        <v>352500</v>
      </c>
      <c r="F41" s="105">
        <f>IF(F19=0,'Key_Assumptions_&amp;_Inputs'!$J$61+'Key_Assumptions_&amp;_Inputs'!$J$60*'Key_Assumptions_&amp;_Inputs'!$E$18*1000,0)</f>
        <v>0</v>
      </c>
      <c r="G41" s="105">
        <f>IF(G19=0,'Key_Assumptions_&amp;_Inputs'!$J$61+'Key_Assumptions_&amp;_Inputs'!$J$60*'Key_Assumptions_&amp;_Inputs'!$E$18*1000,0)</f>
        <v>0</v>
      </c>
      <c r="H41" s="105">
        <f>IF(H19=0,'Key_Assumptions_&amp;_Inputs'!$J$61+'Key_Assumptions_&amp;_Inputs'!$J$60*'Key_Assumptions_&amp;_Inputs'!$E$18*1000,0)</f>
        <v>0</v>
      </c>
      <c r="I41" s="105">
        <f>IF(I19=0,'Key_Assumptions_&amp;_Inputs'!$J$61+'Key_Assumptions_&amp;_Inputs'!$J$60*'Key_Assumptions_&amp;_Inputs'!$E$18*1000,0)</f>
        <v>0</v>
      </c>
      <c r="J41" s="105">
        <f>IF(J19=0,'Key_Assumptions_&amp;_Inputs'!$J$61+'Key_Assumptions_&amp;_Inputs'!$J$60*'Key_Assumptions_&amp;_Inputs'!$E$18*1000,0)</f>
        <v>0</v>
      </c>
      <c r="K41" s="105">
        <f>IF(K19=0,'Key_Assumptions_&amp;_Inputs'!$J$61+'Key_Assumptions_&amp;_Inputs'!$J$60*'Key_Assumptions_&amp;_Inputs'!$E$18*1000,0)</f>
        <v>0</v>
      </c>
      <c r="L41" s="105">
        <f>IF(L19=0,'Key_Assumptions_&amp;_Inputs'!$J$61+'Key_Assumptions_&amp;_Inputs'!$J$60*'Key_Assumptions_&amp;_Inputs'!$E$18*1000,0)</f>
        <v>0</v>
      </c>
      <c r="M41" s="105">
        <f>IF(M19=0,'Key_Assumptions_&amp;_Inputs'!$J$61+'Key_Assumptions_&amp;_Inputs'!$J$60*'Key_Assumptions_&amp;_Inputs'!$E$18*1000,0)</f>
        <v>0</v>
      </c>
      <c r="N41" s="105">
        <f>IF(N19=0,'Key_Assumptions_&amp;_Inputs'!$J$61+'Key_Assumptions_&amp;_Inputs'!$J$60*'Key_Assumptions_&amp;_Inputs'!$E$18*1000,0)</f>
        <v>0</v>
      </c>
      <c r="O41" s="105">
        <f>IF(O19=0,'Key_Assumptions_&amp;_Inputs'!$J$61+'Key_Assumptions_&amp;_Inputs'!$J$60*'Key_Assumptions_&amp;_Inputs'!$E$18*1000,0)</f>
        <v>0</v>
      </c>
      <c r="P41" s="105">
        <f>IF(P19=0,'Key_Assumptions_&amp;_Inputs'!$J$61+'Key_Assumptions_&amp;_Inputs'!$J$60*'Key_Assumptions_&amp;_Inputs'!$E$18*1000,0)</f>
        <v>0</v>
      </c>
      <c r="Q41" s="105">
        <f>IF(Q19=0,'Key_Assumptions_&amp;_Inputs'!$J$61+'Key_Assumptions_&amp;_Inputs'!$J$60*'Key_Assumptions_&amp;_Inputs'!$E$18*1000,0)</f>
        <v>0</v>
      </c>
      <c r="R41" s="105">
        <f>IF(R19=0,'Key_Assumptions_&amp;_Inputs'!$J$61+'Key_Assumptions_&amp;_Inputs'!$J$60*'Key_Assumptions_&amp;_Inputs'!$E$18*1000,0)</f>
        <v>0</v>
      </c>
      <c r="S41" s="105">
        <f>IF(S19=0,'Key_Assumptions_&amp;_Inputs'!$J$61+'Key_Assumptions_&amp;_Inputs'!$J$60*'Key_Assumptions_&amp;_Inputs'!$E$18*1000,0)</f>
        <v>0</v>
      </c>
      <c r="T41" s="105">
        <f>IF(T19=0,'Key_Assumptions_&amp;_Inputs'!$J$61+'Key_Assumptions_&amp;_Inputs'!$J$60*'Key_Assumptions_&amp;_Inputs'!$E$18*1000,0)</f>
        <v>0</v>
      </c>
      <c r="U41" s="105">
        <f>IF(U19=0,'Key_Assumptions_&amp;_Inputs'!$J$61+'Key_Assumptions_&amp;_Inputs'!$J$60*'Key_Assumptions_&amp;_Inputs'!$E$18*1000,0)</f>
        <v>0</v>
      </c>
      <c r="V41" s="105">
        <f>IF(V19=0,'Key_Assumptions_&amp;_Inputs'!$J$61+'Key_Assumptions_&amp;_Inputs'!$J$60*'Key_Assumptions_&amp;_Inputs'!$E$18*1000,0)</f>
        <v>0</v>
      </c>
      <c r="W41" s="105">
        <f>IF(W19=0,'Key_Assumptions_&amp;_Inputs'!$J$61+'Key_Assumptions_&amp;_Inputs'!$J$60*'Key_Assumptions_&amp;_Inputs'!$E$18*1000,0)</f>
        <v>0</v>
      </c>
      <c r="X41" s="105">
        <f>IF(X19=0,'Key_Assumptions_&amp;_Inputs'!$J$61+'Key_Assumptions_&amp;_Inputs'!$J$60*'Key_Assumptions_&amp;_Inputs'!$E$18*1000,0)</f>
        <v>0</v>
      </c>
      <c r="Y41" s="105">
        <f>IF(Y19=0,'Key_Assumptions_&amp;_Inputs'!$J$61+'Key_Assumptions_&amp;_Inputs'!$J$60*'Key_Assumptions_&amp;_Inputs'!$E$18*1000,0)</f>
        <v>0</v>
      </c>
      <c r="Z41" s="105">
        <f>IF(Z19=0,'Key_Assumptions_&amp;_Inputs'!$J$61+'Key_Assumptions_&amp;_Inputs'!$J$60*'Key_Assumptions_&amp;_Inputs'!$E$18*1000,0)</f>
        <v>0</v>
      </c>
      <c r="AA41" s="105">
        <f>IF(AA19=0,'Key_Assumptions_&amp;_Inputs'!$J$61+'Key_Assumptions_&amp;_Inputs'!$J$60*'Key_Assumptions_&amp;_Inputs'!$E$18*1000,0)</f>
        <v>0</v>
      </c>
      <c r="AB41" s="105">
        <f>IF(AB19=0,'Key_Assumptions_&amp;_Inputs'!$J$61+'Key_Assumptions_&amp;_Inputs'!$J$60*'Key_Assumptions_&amp;_Inputs'!$E$18*1000,0)</f>
        <v>0</v>
      </c>
      <c r="AC41" s="105">
        <f>IF(AC19=0,'Key_Assumptions_&amp;_Inputs'!$J$61+'Key_Assumptions_&amp;_Inputs'!$J$60*'Key_Assumptions_&amp;_Inputs'!$E$18*1000,0)</f>
        <v>0</v>
      </c>
      <c r="AD41" s="177">
        <f>IF(AD19=0,'Key_Assumptions_&amp;_Inputs'!$J$61+'Key_Assumptions_&amp;_Inputs'!$J$60*'Key_Assumptions_&amp;_Inputs'!$E$18*1000,0)</f>
        <v>0</v>
      </c>
      <c r="AE41" s="190">
        <f>SUM(E41:AD41)</f>
        <v>352500</v>
      </c>
    </row>
    <row r="42" spans="2:33" x14ac:dyDescent="0.25">
      <c r="B42" s="137" t="s">
        <v>316</v>
      </c>
      <c r="C42" s="133"/>
      <c r="D42" s="89" t="s">
        <v>0</v>
      </c>
      <c r="E42" s="105">
        <f>'Key_Assumptions_&amp;_Inputs'!J61</f>
        <v>0</v>
      </c>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77"/>
      <c r="AE42" s="190"/>
    </row>
    <row r="43" spans="2:33" x14ac:dyDescent="0.25">
      <c r="B43" s="137" t="s">
        <v>38</v>
      </c>
      <c r="C43" s="133"/>
      <c r="D43" s="89" t="s">
        <v>0</v>
      </c>
      <c r="E43" s="105">
        <f>IF(E19=0,0,'Key_Assumptions_&amp;_Inputs'!$J$59*Generation_Rates!D54)</f>
        <v>0</v>
      </c>
      <c r="F43" s="167">
        <f>Generation_Rates!$D$70*'Key_Assumptions_&amp;_Inputs'!$J$59</f>
        <v>0</v>
      </c>
      <c r="G43" s="167">
        <f>IF(OR('Key_Assumptions_&amp;_Inputs'!$E$21="Non Tax-Exempt Entity",'Key_Assumptions_&amp;_Inputs'!$E$21="Tax-Exempt Entity"),Generation_Rates!$D$70*'Key_Assumptions_&amp;_Inputs'!$J$59,0)</f>
        <v>0</v>
      </c>
      <c r="H43" s="167">
        <f>IF(OR('Key_Assumptions_&amp;_Inputs'!$E$21="Non Tax-Exempt Entity",'Key_Assumptions_&amp;_Inputs'!$E$21="Tax-Exempt Entity"),Generation_Rates!$D$70*'Key_Assumptions_&amp;_Inputs'!$J$59,0)</f>
        <v>0</v>
      </c>
      <c r="I43" s="167">
        <f>IF(OR('Key_Assumptions_&amp;_Inputs'!$E$21="Non Tax-Exempt Entity",'Key_Assumptions_&amp;_Inputs'!$E$21="Tax-Exempt Entity"),Generation_Rates!$D$70*'Key_Assumptions_&amp;_Inputs'!$J$59,0)</f>
        <v>0</v>
      </c>
      <c r="J43" s="167">
        <f>IF(OR('Key_Assumptions_&amp;_Inputs'!$E$21="Non Tax-Exempt Entity",'Key_Assumptions_&amp;_Inputs'!$E$21="Tax-Exempt Entity"),Generation_Rates!$D$70*'Key_Assumptions_&amp;_Inputs'!$J$59,0)</f>
        <v>0</v>
      </c>
      <c r="K43" s="167">
        <f>IF(OR('Key_Assumptions_&amp;_Inputs'!$E$21="Non Tax-Exempt Entity",'Key_Assumptions_&amp;_Inputs'!$E$21="Tax-Exempt Entity"),Generation_Rates!$D$70*'Key_Assumptions_&amp;_Inputs'!$J$59,0)</f>
        <v>0</v>
      </c>
      <c r="L43" s="167">
        <f>IF(OR('Key_Assumptions_&amp;_Inputs'!$E$21="Non Tax-Exempt Entity",'Key_Assumptions_&amp;_Inputs'!$E$21="Tax-Exempt Entity"),Generation_Rates!$D$70*'Key_Assumptions_&amp;_Inputs'!$J$59,0)</f>
        <v>0</v>
      </c>
      <c r="M43" s="167">
        <f>IF(OR('Key_Assumptions_&amp;_Inputs'!$E$21="Non Tax-Exempt Entity",'Key_Assumptions_&amp;_Inputs'!$E$21="Tax-Exempt Entity"),Generation_Rates!$D$70*'Key_Assumptions_&amp;_Inputs'!$J$59,0)</f>
        <v>0</v>
      </c>
      <c r="N43" s="167">
        <f>IF(OR('Key_Assumptions_&amp;_Inputs'!$E$21="Non Tax-Exempt Entity",'Key_Assumptions_&amp;_Inputs'!$E$21="Tax-Exempt Entity"),Generation_Rates!$D$70*'Key_Assumptions_&amp;_Inputs'!$J$59,0)</f>
        <v>0</v>
      </c>
      <c r="O43" s="167">
        <f>IF(OR('Key_Assumptions_&amp;_Inputs'!$E$21="Non Tax-Exempt Entity",'Key_Assumptions_&amp;_Inputs'!$E$21="Tax-Exempt Entity"),Generation_Rates!$D$70*'Key_Assumptions_&amp;_Inputs'!$J$59,0)</f>
        <v>0</v>
      </c>
      <c r="P43" s="167">
        <f>IF(OR('Key_Assumptions_&amp;_Inputs'!$E$21="Non Tax-Exempt Entity",'Key_Assumptions_&amp;_Inputs'!$E$21="Tax-Exempt Entity"),Generation_Rates!$D$70*'Key_Assumptions_&amp;_Inputs'!$J$59,0)</f>
        <v>0</v>
      </c>
      <c r="Q43" s="167">
        <f>IF(OR('Key_Assumptions_&amp;_Inputs'!$E$21="Non Tax-Exempt Entity",'Key_Assumptions_&amp;_Inputs'!$E$21="Tax-Exempt Entity"),Generation_Rates!$D$70*'Key_Assumptions_&amp;_Inputs'!$J$59,0)</f>
        <v>0</v>
      </c>
      <c r="R43" s="167">
        <f>IF(OR('Key_Assumptions_&amp;_Inputs'!$E$21="Non Tax-Exempt Entity",'Key_Assumptions_&amp;_Inputs'!$E$21="Tax-Exempt Entity"),Generation_Rates!$D$70*'Key_Assumptions_&amp;_Inputs'!$J$59,0)</f>
        <v>0</v>
      </c>
      <c r="S43" s="167">
        <f>IF(OR('Key_Assumptions_&amp;_Inputs'!$E$21="Non Tax-Exempt Entity",'Key_Assumptions_&amp;_Inputs'!$E$21="Tax-Exempt Entity"),Generation_Rates!$D$70*'Key_Assumptions_&amp;_Inputs'!$J$59,0)</f>
        <v>0</v>
      </c>
      <c r="T43" s="167">
        <f>IF(OR('Key_Assumptions_&amp;_Inputs'!$E$21="Non Tax-Exempt Entity",'Key_Assumptions_&amp;_Inputs'!$E$21="Tax-Exempt Entity"),Generation_Rates!$D$70*'Key_Assumptions_&amp;_Inputs'!$J$59,0)</f>
        <v>0</v>
      </c>
      <c r="U43" s="167">
        <f>IF(OR('Key_Assumptions_&amp;_Inputs'!$E$21="Non Tax-Exempt Entity",'Key_Assumptions_&amp;_Inputs'!$E$21="Tax-Exempt Entity"),Generation_Rates!$D$70*'Key_Assumptions_&amp;_Inputs'!$J$59,0)</f>
        <v>0</v>
      </c>
      <c r="V43" s="167">
        <f>IF(OR('Key_Assumptions_&amp;_Inputs'!$E$21="Non Tax-Exempt Entity",'Key_Assumptions_&amp;_Inputs'!$E$21="Tax-Exempt Entity"),Generation_Rates!$D$70*'Key_Assumptions_&amp;_Inputs'!$J$59,0)</f>
        <v>0</v>
      </c>
      <c r="W43" s="167">
        <f>IF(OR('Key_Assumptions_&amp;_Inputs'!$E$21="Non Tax-Exempt Entity",'Key_Assumptions_&amp;_Inputs'!$E$21="Tax-Exempt Entity"),Generation_Rates!$D$70*'Key_Assumptions_&amp;_Inputs'!$J$59,0)</f>
        <v>0</v>
      </c>
      <c r="X43" s="167">
        <f>IF(OR('Key_Assumptions_&amp;_Inputs'!$E$21="Non Tax-Exempt Entity",'Key_Assumptions_&amp;_Inputs'!$E$21="Tax-Exempt Entity"),Generation_Rates!$D$70*'Key_Assumptions_&amp;_Inputs'!$J$59,0)</f>
        <v>0</v>
      </c>
      <c r="Y43" s="167">
        <f>IF(OR('Key_Assumptions_&amp;_Inputs'!$E$21="Non Tax-Exempt Entity",'Key_Assumptions_&amp;_Inputs'!$E$21="Tax-Exempt Entity"),Generation_Rates!$D$70*'Key_Assumptions_&amp;_Inputs'!$J$59,0)</f>
        <v>0</v>
      </c>
      <c r="Z43" s="167">
        <f>IF(OR('Key_Assumptions_&amp;_Inputs'!$E$21="Non Tax-Exempt Entity",'Key_Assumptions_&amp;_Inputs'!$E$21="Tax-Exempt Entity"),Generation_Rates!$D$70*'Key_Assumptions_&amp;_Inputs'!$J$59,0)</f>
        <v>0</v>
      </c>
      <c r="AA43" s="167">
        <f>IF(OR('Key_Assumptions_&amp;_Inputs'!$E$21="Non Tax-Exempt Entity",'Key_Assumptions_&amp;_Inputs'!$E$21="Tax-Exempt Entity"),Generation_Rates!$D$70*'Key_Assumptions_&amp;_Inputs'!$J$59,0)</f>
        <v>0</v>
      </c>
      <c r="AB43" s="167">
        <f>IF(OR('Key_Assumptions_&amp;_Inputs'!$E$21="Non Tax-Exempt Entity",'Key_Assumptions_&amp;_Inputs'!$E$21="Tax-Exempt Entity"),Generation_Rates!$D$70*'Key_Assumptions_&amp;_Inputs'!$J$59,0)</f>
        <v>0</v>
      </c>
      <c r="AC43" s="167">
        <f>IF(OR('Key_Assumptions_&amp;_Inputs'!$E$21="Non Tax-Exempt Entity",'Key_Assumptions_&amp;_Inputs'!$E$21="Tax-Exempt Entity"),Generation_Rates!$D$70*'Key_Assumptions_&amp;_Inputs'!$J$59,0)</f>
        <v>0</v>
      </c>
      <c r="AD43" s="175">
        <f>IF(OR('Key_Assumptions_&amp;_Inputs'!$E$21="Non Tax-Exempt Entity",'Key_Assumptions_&amp;_Inputs'!$E$21="Tax-Exempt Entity"),Generation_Rates!$D$70*'Key_Assumptions_&amp;_Inputs'!$J$59,0)</f>
        <v>0</v>
      </c>
      <c r="AE43" s="190">
        <f>SUM(E43:AD43)</f>
        <v>0</v>
      </c>
      <c r="AG43" s="75"/>
    </row>
    <row r="44" spans="2:33" x14ac:dyDescent="0.25">
      <c r="B44" s="135" t="s">
        <v>30</v>
      </c>
      <c r="C44" s="136"/>
      <c r="D44" s="95" t="s">
        <v>0</v>
      </c>
      <c r="E44" s="188">
        <f t="shared" ref="E44:AD44" si="7">SUM(E39:E43)</f>
        <v>1105440</v>
      </c>
      <c r="F44" s="194">
        <f t="shared" si="7"/>
        <v>149333.10000000003</v>
      </c>
      <c r="G44" s="194">
        <f t="shared" si="7"/>
        <v>238932.96000000005</v>
      </c>
      <c r="H44" s="194">
        <f t="shared" si="7"/>
        <v>143359.77600000001</v>
      </c>
      <c r="I44" s="194">
        <f t="shared" si="7"/>
        <v>86015.865600000005</v>
      </c>
      <c r="J44" s="194">
        <f t="shared" si="7"/>
        <v>86015.865600000005</v>
      </c>
      <c r="K44" s="194">
        <f t="shared" si="7"/>
        <v>43007.932800000002</v>
      </c>
      <c r="L44" s="194">
        <f t="shared" si="7"/>
        <v>0</v>
      </c>
      <c r="M44" s="194">
        <f t="shared" si="7"/>
        <v>0</v>
      </c>
      <c r="N44" s="194">
        <f t="shared" si="7"/>
        <v>0</v>
      </c>
      <c r="O44" s="194">
        <f t="shared" si="7"/>
        <v>0</v>
      </c>
      <c r="P44" s="194">
        <f t="shared" si="7"/>
        <v>0</v>
      </c>
      <c r="Q44" s="194">
        <f t="shared" si="7"/>
        <v>0</v>
      </c>
      <c r="R44" s="194">
        <f t="shared" si="7"/>
        <v>0</v>
      </c>
      <c r="S44" s="194">
        <f t="shared" si="7"/>
        <v>0</v>
      </c>
      <c r="T44" s="194">
        <f t="shared" si="7"/>
        <v>0</v>
      </c>
      <c r="U44" s="194">
        <f t="shared" si="7"/>
        <v>0</v>
      </c>
      <c r="V44" s="194">
        <f t="shared" si="7"/>
        <v>0</v>
      </c>
      <c r="W44" s="194">
        <f t="shared" si="7"/>
        <v>0</v>
      </c>
      <c r="X44" s="194">
        <f t="shared" si="7"/>
        <v>0</v>
      </c>
      <c r="Y44" s="194">
        <f t="shared" si="7"/>
        <v>0</v>
      </c>
      <c r="Z44" s="194">
        <f t="shared" si="7"/>
        <v>0</v>
      </c>
      <c r="AA44" s="194">
        <f t="shared" si="7"/>
        <v>0</v>
      </c>
      <c r="AB44" s="194">
        <f t="shared" si="7"/>
        <v>0</v>
      </c>
      <c r="AC44" s="194">
        <f t="shared" si="7"/>
        <v>0</v>
      </c>
      <c r="AD44" s="407">
        <f t="shared" si="7"/>
        <v>0</v>
      </c>
      <c r="AE44" s="195">
        <f>SUM(E44:AD44)</f>
        <v>1852105.5</v>
      </c>
      <c r="AG44" s="84"/>
    </row>
    <row r="45" spans="2:33" x14ac:dyDescent="0.25">
      <c r="B45" s="132"/>
      <c r="C45" s="133"/>
      <c r="D45" s="89"/>
      <c r="E45" s="105"/>
      <c r="F45" s="167"/>
      <c r="G45" s="167"/>
      <c r="H45" s="167"/>
      <c r="I45" s="167"/>
      <c r="J45" s="167"/>
      <c r="K45" s="167"/>
      <c r="L45" s="167"/>
      <c r="M45" s="167"/>
      <c r="N45" s="167"/>
      <c r="O45" s="167"/>
      <c r="P45" s="170"/>
      <c r="Q45" s="170"/>
      <c r="R45" s="170"/>
      <c r="S45" s="170"/>
      <c r="T45" s="170"/>
      <c r="U45" s="170"/>
      <c r="V45" s="170"/>
      <c r="W45" s="170"/>
      <c r="X45" s="170"/>
      <c r="Y45" s="171"/>
      <c r="Z45" s="171"/>
      <c r="AA45" s="171"/>
      <c r="AB45" s="171"/>
      <c r="AC45" s="171"/>
      <c r="AD45" s="172"/>
      <c r="AE45" s="182"/>
    </row>
    <row r="46" spans="2:33" x14ac:dyDescent="0.25">
      <c r="B46" s="134" t="s">
        <v>65</v>
      </c>
      <c r="C46" s="133"/>
      <c r="D46" s="89"/>
      <c r="E46" s="105"/>
      <c r="F46" s="167"/>
      <c r="G46" s="167"/>
      <c r="H46" s="167"/>
      <c r="I46" s="167"/>
      <c r="J46" s="167"/>
      <c r="K46" s="167"/>
      <c r="L46" s="167"/>
      <c r="M46" s="167"/>
      <c r="N46" s="167"/>
      <c r="O46" s="167"/>
      <c r="P46" s="170"/>
      <c r="Q46" s="170"/>
      <c r="R46" s="170"/>
      <c r="S46" s="170"/>
      <c r="T46" s="170"/>
      <c r="U46" s="170"/>
      <c r="V46" s="170"/>
      <c r="W46" s="170"/>
      <c r="X46" s="170"/>
      <c r="Y46" s="171"/>
      <c r="Z46" s="171"/>
      <c r="AA46" s="171"/>
      <c r="AB46" s="171"/>
      <c r="AC46" s="171"/>
      <c r="AD46" s="172"/>
      <c r="AE46" s="182"/>
    </row>
    <row r="47" spans="2:33" s="64" customFormat="1" x14ac:dyDescent="0.25">
      <c r="B47" s="141" t="s">
        <v>325</v>
      </c>
      <c r="C47" s="133"/>
      <c r="D47" s="96" t="s">
        <v>0</v>
      </c>
      <c r="E47" s="196">
        <f>IF(E19&gt;'Key_Assumptions_&amp;_Inputs'!$E$23,0,IF('Key_Assumptions_&amp;_Inputs'!$E$11="Panel Purchasing",(Dashboard!$C$10*'Key_Assumptions_&amp;_Inputs'!$E$22*(Community_Solar_Business_Case!E13-Community_Solar_Business_Case!E14))/'Key_Assumptions_&amp;_Inputs'!$E$23,0))</f>
        <v>0</v>
      </c>
      <c r="F47" s="196">
        <f>IF(F19&gt;'Key_Assumptions_&amp;_Inputs'!$E$23,0,IF('Key_Assumptions_&amp;_Inputs'!$E$11="Panel Purchasing",(Dashboard!$C$10*'Key_Assumptions_&amp;_Inputs'!$E$22*(Community_Solar_Business_Case!F13-Community_Solar_Business_Case!F14))/'Key_Assumptions_&amp;_Inputs'!$E$23,0))</f>
        <v>0</v>
      </c>
      <c r="G47" s="196">
        <f>IF(G19&gt;'Key_Assumptions_&amp;_Inputs'!$E$23,0,IF('Key_Assumptions_&amp;_Inputs'!$E$11="Panel Purchasing",(Dashboard!$C$10*'Key_Assumptions_&amp;_Inputs'!$E$22*(Community_Solar_Business_Case!G13-Community_Solar_Business_Case!G14))/'Key_Assumptions_&amp;_Inputs'!$E$23,0))</f>
        <v>0</v>
      </c>
      <c r="H47" s="196">
        <f>IF(H19&gt;'Key_Assumptions_&amp;_Inputs'!$E$23,0,IF('Key_Assumptions_&amp;_Inputs'!$E$11="Panel Purchasing",(Dashboard!$C$10*'Key_Assumptions_&amp;_Inputs'!$E$22*(Community_Solar_Business_Case!H13-Community_Solar_Business_Case!H14))/'Key_Assumptions_&amp;_Inputs'!$E$23,0))</f>
        <v>0</v>
      </c>
      <c r="I47" s="196">
        <f>IF(I19&gt;'Key_Assumptions_&amp;_Inputs'!$E$23,0,IF('Key_Assumptions_&amp;_Inputs'!$E$11="Panel Purchasing",(Dashboard!$C$10*'Key_Assumptions_&amp;_Inputs'!$E$22*(Community_Solar_Business_Case!I13-Community_Solar_Business_Case!I14))/'Key_Assumptions_&amp;_Inputs'!$E$23,0))</f>
        <v>0</v>
      </c>
      <c r="J47" s="196">
        <f>IF(J19=0,0,IF(J19&gt;'Key_Assumptions_&amp;_Inputs'!$E$23,0,IF('Key_Assumptions_&amp;_Inputs'!$E$11="Panel Purchasing",(Dashboard!$C$10*'Key_Assumptions_&amp;_Inputs'!$E$22*(Community_Solar_Business_Case!J13-Community_Solar_Business_Case!J14))/'Key_Assumptions_&amp;_Inputs'!$E$23,0)))</f>
        <v>0</v>
      </c>
      <c r="K47" s="196">
        <f>(IF(K19=0,0,IF('Key_Assumptions_&amp;_Inputs'!$E$11="Panel Purchasing",Dashboard!$C$10*'Key_Assumptions_&amp;_Inputs'!$E$22*(Community_Solar_Business_Case!K13-Community_Solar_Business_Case!K14),0))+IF(AND('Key_Assumptions_&amp;_Inputs'!$E$11="Panel Purchasing",K19=1),'Key_Assumptions_&amp;_Inputs'!$E$59*'Key_Assumptions_&amp;_Inputs'!$E$35*Dashboard!$C$10,0))*(1+'Key_Assumptions_&amp;_Inputs'!$E$61)^(Community_Solar_Business_Case!K19-Community_Solar_Business_Case!$F$19)</f>
        <v>0</v>
      </c>
      <c r="L47" s="196">
        <f>(IF(L19=0,0,IF('Key_Assumptions_&amp;_Inputs'!$E$11="Panel Purchasing",Dashboard!$C$10*'Key_Assumptions_&amp;_Inputs'!$E$22*(Community_Solar_Business_Case!L13-Community_Solar_Business_Case!L14),0))+IF(AND('Key_Assumptions_&amp;_Inputs'!$E$11="Panel Purchasing",L19=1),'Key_Assumptions_&amp;_Inputs'!$E$59*'Key_Assumptions_&amp;_Inputs'!$E$35*Dashboard!$C$10,0))*(1+'Key_Assumptions_&amp;_Inputs'!$E$61)^(Community_Solar_Business_Case!L19-Community_Solar_Business_Case!$F$19)</f>
        <v>0</v>
      </c>
      <c r="M47" s="196">
        <f>(IF(M19=0,0,IF('Key_Assumptions_&amp;_Inputs'!$E$11="Panel Purchasing",Dashboard!$C$10*'Key_Assumptions_&amp;_Inputs'!$E$22*(Community_Solar_Business_Case!M13-Community_Solar_Business_Case!M14),0))+IF(AND('Key_Assumptions_&amp;_Inputs'!$E$11="Panel Purchasing",M19=1),'Key_Assumptions_&amp;_Inputs'!$E$59*'Key_Assumptions_&amp;_Inputs'!$E$35*Dashboard!$C$10,0))*(1+'Key_Assumptions_&amp;_Inputs'!$E$61)^(Community_Solar_Business_Case!M19-Community_Solar_Business_Case!$F$19)</f>
        <v>0</v>
      </c>
      <c r="N47" s="196">
        <f>(IF(N19=0,0,IF('Key_Assumptions_&amp;_Inputs'!$E$11="Panel Purchasing",Dashboard!$C$10*'Key_Assumptions_&amp;_Inputs'!$E$22*(Community_Solar_Business_Case!N13-Community_Solar_Business_Case!N14),0))+IF(AND('Key_Assumptions_&amp;_Inputs'!$E$11="Panel Purchasing",N19=1),'Key_Assumptions_&amp;_Inputs'!$E$59*'Key_Assumptions_&amp;_Inputs'!$E$35*Dashboard!$C$10,0))*(1+'Key_Assumptions_&amp;_Inputs'!$E$61)^(Community_Solar_Business_Case!N19-Community_Solar_Business_Case!$F$19)</f>
        <v>0</v>
      </c>
      <c r="O47" s="196">
        <f>(IF(O19=0,0,IF('Key_Assumptions_&amp;_Inputs'!$E$11="Panel Purchasing",Dashboard!$C$10*'Key_Assumptions_&amp;_Inputs'!$E$22*(Community_Solar_Business_Case!O13-Community_Solar_Business_Case!O14),0))+IF(AND('Key_Assumptions_&amp;_Inputs'!$E$11="Panel Purchasing",O19=1),'Key_Assumptions_&amp;_Inputs'!$E$59*'Key_Assumptions_&amp;_Inputs'!$E$35*Dashboard!$C$10,0))*(1+'Key_Assumptions_&amp;_Inputs'!$E$61)^(Community_Solar_Business_Case!O19-Community_Solar_Business_Case!$F$19)</f>
        <v>0</v>
      </c>
      <c r="P47" s="196">
        <f>(IF(P19=0,0,IF('Key_Assumptions_&amp;_Inputs'!$E$11="Panel Purchasing",Dashboard!$C$10*'Key_Assumptions_&amp;_Inputs'!$E$22*(Community_Solar_Business_Case!P13-Community_Solar_Business_Case!P14),0))+IF(AND('Key_Assumptions_&amp;_Inputs'!$E$11="Panel Purchasing",P19=1),'Key_Assumptions_&amp;_Inputs'!$E$59*'Key_Assumptions_&amp;_Inputs'!$E$35*Dashboard!$C$10,0))*(1+'Key_Assumptions_&amp;_Inputs'!$E$61)^(Community_Solar_Business_Case!P19-Community_Solar_Business_Case!$F$19)</f>
        <v>0</v>
      </c>
      <c r="Q47" s="196">
        <f>(IF(Q19=0,0,IF('Key_Assumptions_&amp;_Inputs'!$E$11="Panel Purchasing",Dashboard!$C$10*'Key_Assumptions_&amp;_Inputs'!$E$22*(Community_Solar_Business_Case!Q13-Community_Solar_Business_Case!Q14),0))+IF(AND('Key_Assumptions_&amp;_Inputs'!$E$11="Panel Purchasing",Q19=1),'Key_Assumptions_&amp;_Inputs'!$E$59*'Key_Assumptions_&amp;_Inputs'!$E$35*Dashboard!$C$10,0))*(1+'Key_Assumptions_&amp;_Inputs'!$E$61)^(Community_Solar_Business_Case!Q19-Community_Solar_Business_Case!$F$19)</f>
        <v>0</v>
      </c>
      <c r="R47" s="196">
        <f>(IF(R19=0,0,IF('Key_Assumptions_&amp;_Inputs'!$E$11="Panel Purchasing",Dashboard!$C$10*'Key_Assumptions_&amp;_Inputs'!$E$22*(Community_Solar_Business_Case!R13-Community_Solar_Business_Case!R14),0))+IF(AND('Key_Assumptions_&amp;_Inputs'!$E$11="Panel Purchasing",R19=1),'Key_Assumptions_&amp;_Inputs'!$E$59*'Key_Assumptions_&amp;_Inputs'!$E$35*Dashboard!$C$10,0))*(1+'Key_Assumptions_&amp;_Inputs'!$E$61)^(Community_Solar_Business_Case!R19-Community_Solar_Business_Case!$F$19)</f>
        <v>0</v>
      </c>
      <c r="S47" s="196">
        <f>(IF(S19=0,0,IF('Key_Assumptions_&amp;_Inputs'!$E$11="Panel Purchasing",Dashboard!$C$10*'Key_Assumptions_&amp;_Inputs'!$E$22*(Community_Solar_Business_Case!S13-Community_Solar_Business_Case!S14),0))+IF(AND('Key_Assumptions_&amp;_Inputs'!$E$11="Panel Purchasing",S19=1),'Key_Assumptions_&amp;_Inputs'!$E$59*'Key_Assumptions_&amp;_Inputs'!$E$35*Dashboard!$C$10,0))*(1+'Key_Assumptions_&amp;_Inputs'!$E$61)^(Community_Solar_Business_Case!S19-Community_Solar_Business_Case!$F$19)</f>
        <v>0</v>
      </c>
      <c r="T47" s="196">
        <f>(IF(T19=0,0,IF('Key_Assumptions_&amp;_Inputs'!$E$11="Panel Purchasing",Dashboard!$C$10*'Key_Assumptions_&amp;_Inputs'!$E$22*(Community_Solar_Business_Case!T13-Community_Solar_Business_Case!T14),0))+IF(AND('Key_Assumptions_&amp;_Inputs'!$E$11="Panel Purchasing",T19=1),'Key_Assumptions_&amp;_Inputs'!$E$59*'Key_Assumptions_&amp;_Inputs'!$E$35*Dashboard!$C$10,0))*(1+'Key_Assumptions_&amp;_Inputs'!$E$61)^(Community_Solar_Business_Case!T19-Community_Solar_Business_Case!$F$19)</f>
        <v>0</v>
      </c>
      <c r="U47" s="196">
        <f>(IF(U19=0,0,IF('Key_Assumptions_&amp;_Inputs'!$E$11="Panel Purchasing",Dashboard!$C$10*'Key_Assumptions_&amp;_Inputs'!$E$22*(Community_Solar_Business_Case!U13-Community_Solar_Business_Case!U14),0))+IF(AND('Key_Assumptions_&amp;_Inputs'!$E$11="Panel Purchasing",U19=1),'Key_Assumptions_&amp;_Inputs'!$E$59*'Key_Assumptions_&amp;_Inputs'!$E$35*Dashboard!$C$10,0))*(1+'Key_Assumptions_&amp;_Inputs'!$E$61)^(Community_Solar_Business_Case!U19-Community_Solar_Business_Case!$F$19)</f>
        <v>0</v>
      </c>
      <c r="V47" s="196">
        <f>(IF(V19=0,0,IF('Key_Assumptions_&amp;_Inputs'!$E$11="Panel Purchasing",Dashboard!$C$10*'Key_Assumptions_&amp;_Inputs'!$E$22*(Community_Solar_Business_Case!V13-Community_Solar_Business_Case!V14),0))+IF(AND('Key_Assumptions_&amp;_Inputs'!$E$11="Panel Purchasing",V19=1),'Key_Assumptions_&amp;_Inputs'!$E$59*'Key_Assumptions_&amp;_Inputs'!$E$35*Dashboard!$C$10,0))*(1+'Key_Assumptions_&amp;_Inputs'!$E$61)^(Community_Solar_Business_Case!V19-Community_Solar_Business_Case!$F$19)</f>
        <v>0</v>
      </c>
      <c r="W47" s="196">
        <f>(IF(W19=0,0,IF('Key_Assumptions_&amp;_Inputs'!$E$11="Panel Purchasing",Dashboard!$C$10*'Key_Assumptions_&amp;_Inputs'!$E$22*(Community_Solar_Business_Case!W13-Community_Solar_Business_Case!W14),0))+IF(AND('Key_Assumptions_&amp;_Inputs'!$E$11="Panel Purchasing",W19=1),'Key_Assumptions_&amp;_Inputs'!$E$59*'Key_Assumptions_&amp;_Inputs'!$E$35*Dashboard!$C$10,0))*(1+'Key_Assumptions_&amp;_Inputs'!$E$61)^(Community_Solar_Business_Case!W19-Community_Solar_Business_Case!$F$19)</f>
        <v>0</v>
      </c>
      <c r="X47" s="196">
        <f>(IF(X19=0,0,IF('Key_Assumptions_&amp;_Inputs'!$E$11="Panel Purchasing",Dashboard!$C$10*'Key_Assumptions_&amp;_Inputs'!$E$22*(Community_Solar_Business_Case!X13-Community_Solar_Business_Case!X14),0))+IF(AND('Key_Assumptions_&amp;_Inputs'!$E$11="Panel Purchasing",X19=1),'Key_Assumptions_&amp;_Inputs'!$E$59*'Key_Assumptions_&amp;_Inputs'!$E$35*Dashboard!$C$10,0))*(1+'Key_Assumptions_&amp;_Inputs'!$E$61)^(Community_Solar_Business_Case!X19-Community_Solar_Business_Case!$F$19)</f>
        <v>0</v>
      </c>
      <c r="Y47" s="196">
        <f>(IF(Y19=0,0,IF('Key_Assumptions_&amp;_Inputs'!$E$11="Panel Purchasing",Dashboard!$C$10*'Key_Assumptions_&amp;_Inputs'!$E$22*(Community_Solar_Business_Case!Y13-Community_Solar_Business_Case!Y14),0))+IF(AND('Key_Assumptions_&amp;_Inputs'!$E$11="Panel Purchasing",Y19=1),'Key_Assumptions_&amp;_Inputs'!$E$59*'Key_Assumptions_&amp;_Inputs'!$E$35*Dashboard!$C$10,0))*(1+'Key_Assumptions_&amp;_Inputs'!$E$61)^(Community_Solar_Business_Case!Y19-Community_Solar_Business_Case!$F$19)</f>
        <v>0</v>
      </c>
      <c r="Z47" s="196">
        <f>(IF(Z19=0,0,IF('Key_Assumptions_&amp;_Inputs'!$E$11="Panel Purchasing",Dashboard!$C$10*'Key_Assumptions_&amp;_Inputs'!$E$22*(Community_Solar_Business_Case!Z13-Community_Solar_Business_Case!Z14),0))+IF(AND('Key_Assumptions_&amp;_Inputs'!$E$11="Panel Purchasing",Z19=1),'Key_Assumptions_&amp;_Inputs'!$E$59*'Key_Assumptions_&amp;_Inputs'!$E$35*Dashboard!$C$10,0))*(1+'Key_Assumptions_&amp;_Inputs'!$E$61)^(Community_Solar_Business_Case!Z19-Community_Solar_Business_Case!$F$19)</f>
        <v>0</v>
      </c>
      <c r="AA47" s="196">
        <f>(IF(AA19=0,0,IF('Key_Assumptions_&amp;_Inputs'!$E$11="Panel Purchasing",Dashboard!$C$10*'Key_Assumptions_&amp;_Inputs'!$E$22*(Community_Solar_Business_Case!AA13-Community_Solar_Business_Case!AA14),0))+IF(AND('Key_Assumptions_&amp;_Inputs'!$E$11="Panel Purchasing",AA19=1),'Key_Assumptions_&amp;_Inputs'!$E$59*'Key_Assumptions_&amp;_Inputs'!$E$35*Dashboard!$C$10,0))*(1+'Key_Assumptions_&amp;_Inputs'!$E$61)^(Community_Solar_Business_Case!AA19-Community_Solar_Business_Case!$F$19)</f>
        <v>0</v>
      </c>
      <c r="AB47" s="196">
        <f>(IF(AB19=0,0,IF('Key_Assumptions_&amp;_Inputs'!$E$11="Panel Purchasing",Dashboard!$C$10*'Key_Assumptions_&amp;_Inputs'!$E$22*(Community_Solar_Business_Case!AB13-Community_Solar_Business_Case!AB14),0))+IF(AND('Key_Assumptions_&amp;_Inputs'!$E$11="Panel Purchasing",AB19=1),'Key_Assumptions_&amp;_Inputs'!$E$59*'Key_Assumptions_&amp;_Inputs'!$E$35*Dashboard!$C$10,0))*(1+'Key_Assumptions_&amp;_Inputs'!$E$61)^(Community_Solar_Business_Case!AB19-Community_Solar_Business_Case!$F$19)</f>
        <v>0</v>
      </c>
      <c r="AC47" s="196">
        <f>(IF(AC19=0,0,IF('Key_Assumptions_&amp;_Inputs'!$E$11="Panel Purchasing",Dashboard!$C$10*'Key_Assumptions_&amp;_Inputs'!$E$22*(Community_Solar_Business_Case!AC13-Community_Solar_Business_Case!AC14),0))+IF(AND('Key_Assumptions_&amp;_Inputs'!$E$11="Panel Purchasing",AC19=1),'Key_Assumptions_&amp;_Inputs'!$E$59*'Key_Assumptions_&amp;_Inputs'!$E$35*Dashboard!$C$10,0))*(1+'Key_Assumptions_&amp;_Inputs'!$E$61)^(Community_Solar_Business_Case!AC19-Community_Solar_Business_Case!$F$19)</f>
        <v>0</v>
      </c>
      <c r="AD47" s="251">
        <f>(IF(AD19=0,0,IF('Key_Assumptions_&amp;_Inputs'!$E$11="Panel Purchasing",Dashboard!$C$10*'Key_Assumptions_&amp;_Inputs'!$E$22*(Community_Solar_Business_Case!AD13-Community_Solar_Business_Case!AD14),0))+IF(AND('Key_Assumptions_&amp;_Inputs'!$E$11="Panel Purchasing",AD19=1),'Key_Assumptions_&amp;_Inputs'!$E$59*'Key_Assumptions_&amp;_Inputs'!$E$35*Dashboard!$C$10,0))*(1+'Key_Assumptions_&amp;_Inputs'!$E$61)^(Community_Solar_Business_Case!AD19-Community_Solar_Business_Case!$F$19)</f>
        <v>0</v>
      </c>
      <c r="AE47" s="197">
        <f>SUM(E47:AD47)</f>
        <v>0</v>
      </c>
    </row>
    <row r="48" spans="2:33" s="64" customFormat="1" x14ac:dyDescent="0.25">
      <c r="B48" s="141" t="s">
        <v>327</v>
      </c>
      <c r="C48" s="133"/>
      <c r="D48" s="96" t="s">
        <v>0</v>
      </c>
      <c r="E48" s="196">
        <f>IF('Key_Assumptions_&amp;_Inputs'!$E$11="Panel Purchasing",('Key_Assumptions_&amp;_Inputs'!$E$35*'Key_Assumptions_&amp;_Inputs'!$E$59* 'Key_Assumptions_&amp;_Inputs'!$E$13),0)</f>
        <v>0</v>
      </c>
      <c r="F48" s="196">
        <v>0</v>
      </c>
      <c r="G48" s="196">
        <v>0</v>
      </c>
      <c r="H48" s="196">
        <v>0</v>
      </c>
      <c r="I48" s="196">
        <v>0</v>
      </c>
      <c r="J48" s="196">
        <v>0</v>
      </c>
      <c r="K48" s="196">
        <v>0</v>
      </c>
      <c r="L48" s="196">
        <v>0</v>
      </c>
      <c r="M48" s="196">
        <v>0</v>
      </c>
      <c r="N48" s="196">
        <v>0</v>
      </c>
      <c r="O48" s="196">
        <v>0</v>
      </c>
      <c r="P48" s="196">
        <v>0</v>
      </c>
      <c r="Q48" s="196">
        <v>0</v>
      </c>
      <c r="R48" s="196">
        <v>0</v>
      </c>
      <c r="S48" s="196">
        <v>0</v>
      </c>
      <c r="T48" s="196">
        <v>0</v>
      </c>
      <c r="U48" s="196">
        <v>0</v>
      </c>
      <c r="V48" s="196">
        <v>0</v>
      </c>
      <c r="W48" s="196">
        <v>0</v>
      </c>
      <c r="X48" s="196">
        <v>0</v>
      </c>
      <c r="Y48" s="196">
        <v>0</v>
      </c>
      <c r="Z48" s="196">
        <v>0</v>
      </c>
      <c r="AA48" s="196">
        <v>0</v>
      </c>
      <c r="AB48" s="196">
        <v>0</v>
      </c>
      <c r="AC48" s="196">
        <v>0</v>
      </c>
      <c r="AD48" s="251">
        <v>0</v>
      </c>
      <c r="AE48" s="197">
        <f>SUM(E48:AD48)</f>
        <v>0</v>
      </c>
    </row>
    <row r="49" spans="2:31" s="64" customFormat="1" x14ac:dyDescent="0.25">
      <c r="B49" s="141" t="s">
        <v>326</v>
      </c>
      <c r="C49" s="133"/>
      <c r="D49" s="96" t="s">
        <v>0</v>
      </c>
      <c r="E49" s="196">
        <f>IF('Key_Assumptions_&amp;_Inputs'!$E$11="Panel Purchasing",0,IF(E19=0,0,IF('Key_Assumptions_&amp;_Inputs'!$E$11="Panel Leasing",((1-'Key_Assumptions_&amp;_Inputs'!$E$59)*'Key_Assumptions_&amp;_Inputs'!$E$35*'Key_Assumptions_&amp;_Inputs'!$E$12*12),0)*(1+'Key_Assumptions_&amp;_Inputs'!$E$61)^(E19-1)))</f>
        <v>0</v>
      </c>
      <c r="F49" s="196">
        <f>IF('Key_Assumptions_&amp;_Inputs'!$E$11="Panel Purchasing",0,IF(F19=0,0,IF('Key_Assumptions_&amp;_Inputs'!$E$11="Panel Leasing",((1-'Key_Assumptions_&amp;_Inputs'!$E$59)*'Key_Assumptions_&amp;_Inputs'!$E$35*'Key_Assumptions_&amp;_Inputs'!$E$12*12),0)*(1+'Key_Assumptions_&amp;_Inputs'!$E$61)^(F19-1)))</f>
        <v>45192.774193548379</v>
      </c>
      <c r="G49" s="196">
        <f>IF('Key_Assumptions_&amp;_Inputs'!$E$11="Panel Purchasing",0,IF(G19=0,0,IF('Key_Assumptions_&amp;_Inputs'!$E$11="Panel Leasing",((1-'Key_Assumptions_&amp;_Inputs'!$E$59)*'Key_Assumptions_&amp;_Inputs'!$E$35*'Key_Assumptions_&amp;_Inputs'!$E$12*12),0)*(1+'Key_Assumptions_&amp;_Inputs'!$E$61)^(G19-1)))</f>
        <v>45192.774193548379</v>
      </c>
      <c r="H49" s="196">
        <f>IF('Key_Assumptions_&amp;_Inputs'!$E$11="Panel Purchasing",0,IF(H19=0,0,IF('Key_Assumptions_&amp;_Inputs'!$E$11="Panel Leasing",((1-'Key_Assumptions_&amp;_Inputs'!$E$59)*'Key_Assumptions_&amp;_Inputs'!$E$35*'Key_Assumptions_&amp;_Inputs'!$E$12*12),0)*(1+'Key_Assumptions_&amp;_Inputs'!$E$61)^(H19-1)))</f>
        <v>45192.774193548379</v>
      </c>
      <c r="I49" s="196">
        <f>IF('Key_Assumptions_&amp;_Inputs'!$E$11="Panel Purchasing",0,IF(I19=0,0,IF('Key_Assumptions_&amp;_Inputs'!$E$11="Panel Leasing",((1-'Key_Assumptions_&amp;_Inputs'!$E$59)*'Key_Assumptions_&amp;_Inputs'!$E$35*'Key_Assumptions_&amp;_Inputs'!$E$12*12),0)*(1+'Key_Assumptions_&amp;_Inputs'!$E$61)^(I19-1)))</f>
        <v>45192.774193548379</v>
      </c>
      <c r="J49" s="196">
        <f>IF('Key_Assumptions_&amp;_Inputs'!$E$11="Panel Purchasing",0,IF(J19=0,0,IF('Key_Assumptions_&amp;_Inputs'!$E$11="Panel Leasing",((1-'Key_Assumptions_&amp;_Inputs'!$E$59)*'Key_Assumptions_&amp;_Inputs'!$E$35*'Key_Assumptions_&amp;_Inputs'!$E$12*12),0)*(1+'Key_Assumptions_&amp;_Inputs'!$E$61)^(J19-1)))</f>
        <v>45192.774193548379</v>
      </c>
      <c r="K49" s="196">
        <f>IF('Key_Assumptions_&amp;_Inputs'!$E$11="Panel Purchasing",0,IF(K19=0,0,IF('Key_Assumptions_&amp;_Inputs'!$E$11="Panel Leasing",((1-'Key_Assumptions_&amp;_Inputs'!$E$59)*'Key_Assumptions_&amp;_Inputs'!$E$35*'Key_Assumptions_&amp;_Inputs'!$E$12*12),0)*(1+'Key_Assumptions_&amp;_Inputs'!$E$61)^(K19-1)))</f>
        <v>45192.774193548379</v>
      </c>
      <c r="L49" s="196">
        <f>IF('Key_Assumptions_&amp;_Inputs'!$E$11="Panel Purchasing",0,IF(L19=0,0,IF('Key_Assumptions_&amp;_Inputs'!$E$11="Panel Leasing",((1-'Key_Assumptions_&amp;_Inputs'!$E$59)*'Key_Assumptions_&amp;_Inputs'!$E$35*'Key_Assumptions_&amp;_Inputs'!$E$12*12),0)*(1+'Key_Assumptions_&amp;_Inputs'!$E$61)^(L19-1)))</f>
        <v>45192.774193548379</v>
      </c>
      <c r="M49" s="196">
        <f>IF('Key_Assumptions_&amp;_Inputs'!$E$11="Panel Purchasing",0,IF(M19=0,0,IF('Key_Assumptions_&amp;_Inputs'!$E$11="Panel Leasing",((1-'Key_Assumptions_&amp;_Inputs'!$E$59)*'Key_Assumptions_&amp;_Inputs'!$E$35*'Key_Assumptions_&amp;_Inputs'!$E$12*12),0)*(1+'Key_Assumptions_&amp;_Inputs'!$E$61)^(M19-1)))</f>
        <v>45192.774193548379</v>
      </c>
      <c r="N49" s="196">
        <f>IF('Key_Assumptions_&amp;_Inputs'!$E$11="Panel Purchasing",0,IF(N19=0,0,IF('Key_Assumptions_&amp;_Inputs'!$E$11="Panel Leasing",((1-'Key_Assumptions_&amp;_Inputs'!$E$59)*'Key_Assumptions_&amp;_Inputs'!$E$35*'Key_Assumptions_&amp;_Inputs'!$E$12*12),0)*(1+'Key_Assumptions_&amp;_Inputs'!$E$61)^(N19-1)))</f>
        <v>45192.774193548379</v>
      </c>
      <c r="O49" s="196">
        <f>IF('Key_Assumptions_&amp;_Inputs'!$E$11="Panel Purchasing",0,IF(O19=0,0,IF('Key_Assumptions_&amp;_Inputs'!$E$11="Panel Leasing",((1-'Key_Assumptions_&amp;_Inputs'!$E$59)*'Key_Assumptions_&amp;_Inputs'!$E$35*'Key_Assumptions_&amp;_Inputs'!$E$12*12),0)*(1+'Key_Assumptions_&amp;_Inputs'!$E$61)^(O19-1)))</f>
        <v>45192.774193548379</v>
      </c>
      <c r="P49" s="196">
        <f>IF('Key_Assumptions_&amp;_Inputs'!$E$11="Panel Purchasing",0,IF(P19=0,0,IF('Key_Assumptions_&amp;_Inputs'!$E$11="Panel Leasing",((1-'Key_Assumptions_&amp;_Inputs'!$E$59)*'Key_Assumptions_&amp;_Inputs'!$E$35*'Key_Assumptions_&amp;_Inputs'!$E$12*12),0)*(1+'Key_Assumptions_&amp;_Inputs'!$E$61)^(P19-1)))</f>
        <v>45192.774193548379</v>
      </c>
      <c r="Q49" s="196">
        <f>IF('Key_Assumptions_&amp;_Inputs'!$E$11="Panel Purchasing",0,IF(Q19=0,0,IF('Key_Assumptions_&amp;_Inputs'!$E$11="Panel Leasing",((1-'Key_Assumptions_&amp;_Inputs'!$E$59)*'Key_Assumptions_&amp;_Inputs'!$E$35*'Key_Assumptions_&amp;_Inputs'!$E$12*12),0)*(1+'Key_Assumptions_&amp;_Inputs'!$E$61)^(Q19-1)))</f>
        <v>45192.774193548379</v>
      </c>
      <c r="R49" s="196">
        <f>IF('Key_Assumptions_&amp;_Inputs'!$E$11="Panel Purchasing",0,IF(R19=0,0,IF('Key_Assumptions_&amp;_Inputs'!$E$11="Panel Leasing",((1-'Key_Assumptions_&amp;_Inputs'!$E$59)*'Key_Assumptions_&amp;_Inputs'!$E$35*'Key_Assumptions_&amp;_Inputs'!$E$12*12),0)*(1+'Key_Assumptions_&amp;_Inputs'!$E$61)^(R19-1)))</f>
        <v>45192.774193548379</v>
      </c>
      <c r="S49" s="196">
        <f>IF('Key_Assumptions_&amp;_Inputs'!$E$11="Panel Purchasing",0,IF(S19=0,0,IF('Key_Assumptions_&amp;_Inputs'!$E$11="Panel Leasing",((1-'Key_Assumptions_&amp;_Inputs'!$E$59)*'Key_Assumptions_&amp;_Inputs'!$E$35*'Key_Assumptions_&amp;_Inputs'!$E$12*12),0)*(1+'Key_Assumptions_&amp;_Inputs'!$E$61)^(S19-1)))</f>
        <v>45192.774193548379</v>
      </c>
      <c r="T49" s="196">
        <f>IF('Key_Assumptions_&amp;_Inputs'!$E$11="Panel Purchasing",0,IF(T19=0,0,IF('Key_Assumptions_&amp;_Inputs'!$E$11="Panel Leasing",((1-'Key_Assumptions_&amp;_Inputs'!$E$59)*'Key_Assumptions_&amp;_Inputs'!$E$35*'Key_Assumptions_&amp;_Inputs'!$E$12*12),0)*(1+'Key_Assumptions_&amp;_Inputs'!$E$61)^(T19-1)))</f>
        <v>45192.774193548379</v>
      </c>
      <c r="U49" s="196">
        <f>IF('Key_Assumptions_&amp;_Inputs'!$E$11="Panel Purchasing",0,IF(U19=0,0,IF('Key_Assumptions_&amp;_Inputs'!$E$11="Panel Leasing",((1-'Key_Assumptions_&amp;_Inputs'!$E$59)*'Key_Assumptions_&amp;_Inputs'!$E$35*'Key_Assumptions_&amp;_Inputs'!$E$12*12),0)*(1+'Key_Assumptions_&amp;_Inputs'!$E$61)^(U19-1)))</f>
        <v>45192.774193548379</v>
      </c>
      <c r="V49" s="196">
        <f>IF('Key_Assumptions_&amp;_Inputs'!$E$11="Panel Purchasing",0,IF(V19=0,0,IF('Key_Assumptions_&amp;_Inputs'!$E$11="Panel Leasing",((1-'Key_Assumptions_&amp;_Inputs'!$E$59)*'Key_Assumptions_&amp;_Inputs'!$E$35*'Key_Assumptions_&amp;_Inputs'!$E$12*12),0)*(1+'Key_Assumptions_&amp;_Inputs'!$E$61)^(V19-1)))</f>
        <v>45192.774193548379</v>
      </c>
      <c r="W49" s="196">
        <f>IF('Key_Assumptions_&amp;_Inputs'!$E$11="Panel Purchasing",0,IF(W19=0,0,IF('Key_Assumptions_&amp;_Inputs'!$E$11="Panel Leasing",((1-'Key_Assumptions_&amp;_Inputs'!$E$59)*'Key_Assumptions_&amp;_Inputs'!$E$35*'Key_Assumptions_&amp;_Inputs'!$E$12*12),0)*(1+'Key_Assumptions_&amp;_Inputs'!$E$61)^(W19-1)))</f>
        <v>45192.774193548379</v>
      </c>
      <c r="X49" s="196">
        <f>IF('Key_Assumptions_&amp;_Inputs'!$E$11="Panel Purchasing",0,IF(X19=0,0,IF('Key_Assumptions_&amp;_Inputs'!$E$11="Panel Leasing",((1-'Key_Assumptions_&amp;_Inputs'!$E$59)*'Key_Assumptions_&amp;_Inputs'!$E$35*'Key_Assumptions_&amp;_Inputs'!$E$12*12),0)*(1+'Key_Assumptions_&amp;_Inputs'!$E$61)^(X19-1)))</f>
        <v>45192.774193548379</v>
      </c>
      <c r="Y49" s="196">
        <f>IF('Key_Assumptions_&amp;_Inputs'!$E$11="Panel Purchasing",0,IF(Y19=0,0,IF('Key_Assumptions_&amp;_Inputs'!$E$11="Panel Leasing",((1-'Key_Assumptions_&amp;_Inputs'!$E$59)*'Key_Assumptions_&amp;_Inputs'!$E$35*'Key_Assumptions_&amp;_Inputs'!$E$12*12),0)*(1+'Key_Assumptions_&amp;_Inputs'!$E$61)^(Y19-1)))</f>
        <v>45192.774193548379</v>
      </c>
      <c r="Z49" s="196">
        <f>IF('Key_Assumptions_&amp;_Inputs'!$E$11="Panel Purchasing",0,IF(Z19=0,0,IF('Key_Assumptions_&amp;_Inputs'!$E$11="Panel Leasing",((1-'Key_Assumptions_&amp;_Inputs'!$E$59)*'Key_Assumptions_&amp;_Inputs'!$E$35*'Key_Assumptions_&amp;_Inputs'!$E$12*12),0)*(1+'Key_Assumptions_&amp;_Inputs'!$E$61)^(Z19-1)))</f>
        <v>45192.774193548379</v>
      </c>
      <c r="AA49" s="196">
        <f>IF('Key_Assumptions_&amp;_Inputs'!$E$11="Panel Purchasing",0,IF(AA19=0,0,IF('Key_Assumptions_&amp;_Inputs'!$E$11="Panel Leasing",((1-'Key_Assumptions_&amp;_Inputs'!$E$59)*'Key_Assumptions_&amp;_Inputs'!$E$35*'Key_Assumptions_&amp;_Inputs'!$E$12*12),0)*(1+'Key_Assumptions_&amp;_Inputs'!$E$61)^(AA19-1)))</f>
        <v>45192.774193548379</v>
      </c>
      <c r="AB49" s="196">
        <f>IF('Key_Assumptions_&amp;_Inputs'!$E$11="Panel Purchasing",0,IF(AB19=0,0,IF('Key_Assumptions_&amp;_Inputs'!$E$11="Panel Leasing",((1-'Key_Assumptions_&amp;_Inputs'!$E$59)*'Key_Assumptions_&amp;_Inputs'!$E$35*'Key_Assumptions_&amp;_Inputs'!$E$12*12),0)*(1+'Key_Assumptions_&amp;_Inputs'!$E$61)^(AB19-1)))</f>
        <v>45192.774193548379</v>
      </c>
      <c r="AC49" s="196">
        <f>IF('Key_Assumptions_&amp;_Inputs'!$E$11="Panel Purchasing",0,IF(AC19=0,0,IF('Key_Assumptions_&amp;_Inputs'!$E$11="Panel Leasing",((1-'Key_Assumptions_&amp;_Inputs'!$E$59)*'Key_Assumptions_&amp;_Inputs'!$E$35*'Key_Assumptions_&amp;_Inputs'!$E$12*12),0)*(1+'Key_Assumptions_&amp;_Inputs'!$E$61)^(AC19-1)))</f>
        <v>45192.774193548379</v>
      </c>
      <c r="AD49" s="251">
        <f>IF('Key_Assumptions_&amp;_Inputs'!$E$11="Panel Purchasing",0,IF(AD19=0,0,IF('Key_Assumptions_&amp;_Inputs'!$E$11="Panel Leasing",((1-'Key_Assumptions_&amp;_Inputs'!$E$59)*'Key_Assumptions_&amp;_Inputs'!$E$35*'Key_Assumptions_&amp;_Inputs'!$E$12*12),0)*(1+'Key_Assumptions_&amp;_Inputs'!$E$61)^(AD19-1)))</f>
        <v>45192.774193548379</v>
      </c>
      <c r="AE49" s="197">
        <f>SUM(E49:AD49)</f>
        <v>1129819.3548387093</v>
      </c>
    </row>
    <row r="50" spans="2:31" s="64" customFormat="1" x14ac:dyDescent="0.25">
      <c r="B50" s="142" t="s">
        <v>328</v>
      </c>
      <c r="C50" s="139"/>
      <c r="D50" s="97" t="s">
        <v>0</v>
      </c>
      <c r="E50" s="198">
        <f>IF('Key_Assumptions_&amp;_Inputs'!$E$11="Panel Purchasing",0,IF(E19=0,0,IF('Key_Assumptions_&amp;_Inputs'!$E$11="Panel Leasing",('Key_Assumptions_&amp;_Inputs'!$E$59*'Key_Assumptions_&amp;_Inputs'!$E$35*'Key_Assumptions_&amp;_Inputs'!$E$13*12),0)*(1+'Key_Assumptions_&amp;_Inputs'!$E$61)^(E19-1)))</f>
        <v>0</v>
      </c>
      <c r="F50" s="198">
        <f>IF('Key_Assumptions_&amp;_Inputs'!$E$11="Panel Purchasing",0,IF(F19=0,0,IF('Key_Assumptions_&amp;_Inputs'!$E$11="Panel Leasing",('Key_Assumptions_&amp;_Inputs'!$E$59*'Key_Assumptions_&amp;_Inputs'!$E$35*'Key_Assumptions_&amp;_Inputs'!$E$13*12),0)*(1+'Key_Assumptions_&amp;_Inputs'!$E$61)^(F19-1)))</f>
        <v>21395.612903225803</v>
      </c>
      <c r="G50" s="198">
        <f>IF('Key_Assumptions_&amp;_Inputs'!$E$11="Panel Purchasing",0,IF(G19=0,0,IF('Key_Assumptions_&amp;_Inputs'!$E$11="Panel Leasing",('Key_Assumptions_&amp;_Inputs'!$E$59*'Key_Assumptions_&amp;_Inputs'!$E$35*'Key_Assumptions_&amp;_Inputs'!$E$13*12),0)*(1+'Key_Assumptions_&amp;_Inputs'!$E$61)^(G19-1)))</f>
        <v>21395.612903225803</v>
      </c>
      <c r="H50" s="198">
        <f>IF('Key_Assumptions_&amp;_Inputs'!$E$11="Panel Purchasing",0,IF(H19=0,0,IF('Key_Assumptions_&amp;_Inputs'!$E$11="Panel Leasing",('Key_Assumptions_&amp;_Inputs'!$E$59*'Key_Assumptions_&amp;_Inputs'!$E$35*'Key_Assumptions_&amp;_Inputs'!$E$13*12),0)*(1+'Key_Assumptions_&amp;_Inputs'!$E$61)^(H19-1)))</f>
        <v>21395.612903225803</v>
      </c>
      <c r="I50" s="198">
        <f>IF('Key_Assumptions_&amp;_Inputs'!$E$11="Panel Purchasing",0,IF(I19=0,0,IF('Key_Assumptions_&amp;_Inputs'!$E$11="Panel Leasing",('Key_Assumptions_&amp;_Inputs'!$E$59*'Key_Assumptions_&amp;_Inputs'!$E$35*'Key_Assumptions_&amp;_Inputs'!$E$13*12),0)*(1+'Key_Assumptions_&amp;_Inputs'!$E$61)^(I19-1)))</f>
        <v>21395.612903225803</v>
      </c>
      <c r="J50" s="198">
        <f>IF('Key_Assumptions_&amp;_Inputs'!$E$11="Panel Purchasing",0,IF(J19=0,0,IF('Key_Assumptions_&amp;_Inputs'!$E$11="Panel Leasing",('Key_Assumptions_&amp;_Inputs'!$E$59*'Key_Assumptions_&amp;_Inputs'!$E$35*'Key_Assumptions_&amp;_Inputs'!$E$13*12),0)*(1+'Key_Assumptions_&amp;_Inputs'!$E$61)^(J19-1)))</f>
        <v>21395.612903225803</v>
      </c>
      <c r="K50" s="198">
        <f>IF('Key_Assumptions_&amp;_Inputs'!$E$11="Panel Purchasing",0,IF(K19=0,0,IF('Key_Assumptions_&amp;_Inputs'!$E$11="Panel Leasing",('Key_Assumptions_&amp;_Inputs'!$E$59*'Key_Assumptions_&amp;_Inputs'!$E$35*'Key_Assumptions_&amp;_Inputs'!$E$13*12),0)*(1+'Key_Assumptions_&amp;_Inputs'!$E$61)^(K19-1)))</f>
        <v>21395.612903225803</v>
      </c>
      <c r="L50" s="198">
        <f>IF('Key_Assumptions_&amp;_Inputs'!$E$11="Panel Purchasing",0,IF(L19=0,0,IF('Key_Assumptions_&amp;_Inputs'!$E$11="Panel Leasing",('Key_Assumptions_&amp;_Inputs'!$E$59*'Key_Assumptions_&amp;_Inputs'!$E$35*'Key_Assumptions_&amp;_Inputs'!$E$13*12),0)*(1+'Key_Assumptions_&amp;_Inputs'!$E$61)^(L19-1)))</f>
        <v>21395.612903225803</v>
      </c>
      <c r="M50" s="198">
        <f>IF('Key_Assumptions_&amp;_Inputs'!$E$11="Panel Purchasing",0,IF(M19=0,0,IF('Key_Assumptions_&amp;_Inputs'!$E$11="Panel Leasing",('Key_Assumptions_&amp;_Inputs'!$E$59*'Key_Assumptions_&amp;_Inputs'!$E$35*'Key_Assumptions_&amp;_Inputs'!$E$13*12),0)*(1+'Key_Assumptions_&amp;_Inputs'!$E$61)^(M19-1)))</f>
        <v>21395.612903225803</v>
      </c>
      <c r="N50" s="198">
        <f>IF('Key_Assumptions_&amp;_Inputs'!$E$11="Panel Purchasing",0,IF(N19=0,0,IF('Key_Assumptions_&amp;_Inputs'!$E$11="Panel Leasing",('Key_Assumptions_&amp;_Inputs'!$E$59*'Key_Assumptions_&amp;_Inputs'!$E$35*'Key_Assumptions_&amp;_Inputs'!$E$13*12),0)*(1+'Key_Assumptions_&amp;_Inputs'!$E$61)^(N19-1)))</f>
        <v>21395.612903225803</v>
      </c>
      <c r="O50" s="198">
        <f>IF('Key_Assumptions_&amp;_Inputs'!$E$11="Panel Purchasing",0,IF(O19=0,0,IF('Key_Assumptions_&amp;_Inputs'!$E$11="Panel Leasing",('Key_Assumptions_&amp;_Inputs'!$E$59*'Key_Assumptions_&amp;_Inputs'!$E$35*'Key_Assumptions_&amp;_Inputs'!$E$13*12),0)*(1+'Key_Assumptions_&amp;_Inputs'!$E$61)^(O19-1)))</f>
        <v>21395.612903225803</v>
      </c>
      <c r="P50" s="198">
        <f>IF('Key_Assumptions_&amp;_Inputs'!$E$11="Panel Purchasing",0,IF(P19=0,0,IF('Key_Assumptions_&amp;_Inputs'!$E$11="Panel Leasing",('Key_Assumptions_&amp;_Inputs'!$E$59*'Key_Assumptions_&amp;_Inputs'!$E$35*'Key_Assumptions_&amp;_Inputs'!$E$13*12),0)*(1+'Key_Assumptions_&amp;_Inputs'!$E$61)^(P19-1)))</f>
        <v>21395.612903225803</v>
      </c>
      <c r="Q50" s="198">
        <f>IF('Key_Assumptions_&amp;_Inputs'!$E$11="Panel Purchasing",0,IF(Q19=0,0,IF('Key_Assumptions_&amp;_Inputs'!$E$11="Panel Leasing",('Key_Assumptions_&amp;_Inputs'!$E$59*'Key_Assumptions_&amp;_Inputs'!$E$35*'Key_Assumptions_&amp;_Inputs'!$E$13*12),0)*(1+'Key_Assumptions_&amp;_Inputs'!$E$61)^(Q19-1)))</f>
        <v>21395.612903225803</v>
      </c>
      <c r="R50" s="198">
        <f>IF('Key_Assumptions_&amp;_Inputs'!$E$11="Panel Purchasing",0,IF(R19=0,0,IF('Key_Assumptions_&amp;_Inputs'!$E$11="Panel Leasing",('Key_Assumptions_&amp;_Inputs'!$E$59*'Key_Assumptions_&amp;_Inputs'!$E$35*'Key_Assumptions_&amp;_Inputs'!$E$13*12),0)*(1+'Key_Assumptions_&amp;_Inputs'!$E$61)^(R19-1)))</f>
        <v>21395.612903225803</v>
      </c>
      <c r="S50" s="198">
        <f>IF('Key_Assumptions_&amp;_Inputs'!$E$11="Panel Purchasing",0,IF(S19=0,0,IF('Key_Assumptions_&amp;_Inputs'!$E$11="Panel Leasing",('Key_Assumptions_&amp;_Inputs'!$E$59*'Key_Assumptions_&amp;_Inputs'!$E$35*'Key_Assumptions_&amp;_Inputs'!$E$13*12),0)*(1+'Key_Assumptions_&amp;_Inputs'!$E$61)^(S19-1)))</f>
        <v>21395.612903225803</v>
      </c>
      <c r="T50" s="198">
        <f>IF('Key_Assumptions_&amp;_Inputs'!$E$11="Panel Purchasing",0,IF(T19=0,0,IF('Key_Assumptions_&amp;_Inputs'!$E$11="Panel Leasing",('Key_Assumptions_&amp;_Inputs'!$E$59*'Key_Assumptions_&amp;_Inputs'!$E$35*'Key_Assumptions_&amp;_Inputs'!$E$13*12),0)*(1+'Key_Assumptions_&amp;_Inputs'!$E$61)^(T19-1)))</f>
        <v>21395.612903225803</v>
      </c>
      <c r="U50" s="198">
        <f>IF('Key_Assumptions_&amp;_Inputs'!$E$11="Panel Purchasing",0,IF(U19=0,0,IF('Key_Assumptions_&amp;_Inputs'!$E$11="Panel Leasing",('Key_Assumptions_&amp;_Inputs'!$E$59*'Key_Assumptions_&amp;_Inputs'!$E$35*'Key_Assumptions_&amp;_Inputs'!$E$13*12),0)*(1+'Key_Assumptions_&amp;_Inputs'!$E$61)^(U19-1)))</f>
        <v>21395.612903225803</v>
      </c>
      <c r="V50" s="198">
        <f>IF('Key_Assumptions_&amp;_Inputs'!$E$11="Panel Purchasing",0,IF(V19=0,0,IF('Key_Assumptions_&amp;_Inputs'!$E$11="Panel Leasing",('Key_Assumptions_&amp;_Inputs'!$E$59*'Key_Assumptions_&amp;_Inputs'!$E$35*'Key_Assumptions_&amp;_Inputs'!$E$13*12),0)*(1+'Key_Assumptions_&amp;_Inputs'!$E$61)^(V19-1)))</f>
        <v>21395.612903225803</v>
      </c>
      <c r="W50" s="198">
        <f>IF('Key_Assumptions_&amp;_Inputs'!$E$11="Panel Purchasing",0,IF(W19=0,0,IF('Key_Assumptions_&amp;_Inputs'!$E$11="Panel Leasing",('Key_Assumptions_&amp;_Inputs'!$E$59*'Key_Assumptions_&amp;_Inputs'!$E$35*'Key_Assumptions_&amp;_Inputs'!$E$13*12),0)*(1+'Key_Assumptions_&amp;_Inputs'!$E$61)^(W19-1)))</f>
        <v>21395.612903225803</v>
      </c>
      <c r="X50" s="198">
        <f>IF('Key_Assumptions_&amp;_Inputs'!$E$11="Panel Purchasing",0,IF(X19=0,0,IF('Key_Assumptions_&amp;_Inputs'!$E$11="Panel Leasing",('Key_Assumptions_&amp;_Inputs'!$E$59*'Key_Assumptions_&amp;_Inputs'!$E$35*'Key_Assumptions_&amp;_Inputs'!$E$13*12),0)*(1+'Key_Assumptions_&amp;_Inputs'!$E$61)^(X19-1)))</f>
        <v>21395.612903225803</v>
      </c>
      <c r="Y50" s="198">
        <f>IF('Key_Assumptions_&amp;_Inputs'!$E$11="Panel Purchasing",0,IF(Y19=0,0,IF('Key_Assumptions_&amp;_Inputs'!$E$11="Panel Leasing",('Key_Assumptions_&amp;_Inputs'!$E$59*'Key_Assumptions_&amp;_Inputs'!$E$35*'Key_Assumptions_&amp;_Inputs'!$E$13*12),0)*(1+'Key_Assumptions_&amp;_Inputs'!$E$61)^(Y19-1)))</f>
        <v>21395.612903225803</v>
      </c>
      <c r="Z50" s="198">
        <f>IF('Key_Assumptions_&amp;_Inputs'!$E$11="Panel Purchasing",0,IF(Z19=0,0,IF('Key_Assumptions_&amp;_Inputs'!$E$11="Panel Leasing",('Key_Assumptions_&amp;_Inputs'!$E$59*'Key_Assumptions_&amp;_Inputs'!$E$35*'Key_Assumptions_&amp;_Inputs'!$E$13*12),0)*(1+'Key_Assumptions_&amp;_Inputs'!$E$61)^(Z19-1)))</f>
        <v>21395.612903225803</v>
      </c>
      <c r="AA50" s="198">
        <f>IF('Key_Assumptions_&amp;_Inputs'!$E$11="Panel Purchasing",0,IF(AA19=0,0,IF('Key_Assumptions_&amp;_Inputs'!$E$11="Panel Leasing",('Key_Assumptions_&amp;_Inputs'!$E$59*'Key_Assumptions_&amp;_Inputs'!$E$35*'Key_Assumptions_&amp;_Inputs'!$E$13*12),0)*(1+'Key_Assumptions_&amp;_Inputs'!$E$61)^(AA19-1)))</f>
        <v>21395.612903225803</v>
      </c>
      <c r="AB50" s="198">
        <f>IF('Key_Assumptions_&amp;_Inputs'!$E$11="Panel Purchasing",0,IF(AB19=0,0,IF('Key_Assumptions_&amp;_Inputs'!$E$11="Panel Leasing",('Key_Assumptions_&amp;_Inputs'!$E$59*'Key_Assumptions_&amp;_Inputs'!$E$35*'Key_Assumptions_&amp;_Inputs'!$E$13*12),0)*(1+'Key_Assumptions_&amp;_Inputs'!$E$61)^(AB19-1)))</f>
        <v>21395.612903225803</v>
      </c>
      <c r="AC50" s="198">
        <f>IF('Key_Assumptions_&amp;_Inputs'!$E$11="Panel Purchasing",0,IF(AC19=0,0,IF('Key_Assumptions_&amp;_Inputs'!$E$11="Panel Leasing",('Key_Assumptions_&amp;_Inputs'!$E$59*'Key_Assumptions_&amp;_Inputs'!$E$35*'Key_Assumptions_&amp;_Inputs'!$E$13*12),0)*(1+'Key_Assumptions_&amp;_Inputs'!$E$61)^(AC19-1)))</f>
        <v>21395.612903225803</v>
      </c>
      <c r="AD50" s="199">
        <f>IF('Key_Assumptions_&amp;_Inputs'!$E$11="Panel Purchasing",0,IF(AD19=0,0,IF('Key_Assumptions_&amp;_Inputs'!$E$11="Panel Leasing",('Key_Assumptions_&amp;_Inputs'!$E$59*'Key_Assumptions_&amp;_Inputs'!$E$35*'Key_Assumptions_&amp;_Inputs'!$E$13*12),0)*(1+'Key_Assumptions_&amp;_Inputs'!$E$61)^(AD19-1)))</f>
        <v>21395.612903225803</v>
      </c>
      <c r="AE50" s="200">
        <f>SUM(E50:AD50)</f>
        <v>534890.32258064533</v>
      </c>
    </row>
    <row r="51" spans="2:31" x14ac:dyDescent="0.25">
      <c r="B51" s="132" t="s">
        <v>68</v>
      </c>
      <c r="C51" s="133"/>
      <c r="D51" s="89" t="s">
        <v>0</v>
      </c>
      <c r="E51" s="105">
        <f t="shared" ref="E51:AD51" si="8">SUM(E47:E50)</f>
        <v>0</v>
      </c>
      <c r="F51" s="105">
        <f t="shared" si="8"/>
        <v>66588.387096774182</v>
      </c>
      <c r="G51" s="105">
        <f t="shared" si="8"/>
        <v>66588.387096774182</v>
      </c>
      <c r="H51" s="105">
        <f t="shared" si="8"/>
        <v>66588.387096774182</v>
      </c>
      <c r="I51" s="105">
        <f t="shared" si="8"/>
        <v>66588.387096774182</v>
      </c>
      <c r="J51" s="105">
        <f t="shared" si="8"/>
        <v>66588.387096774182</v>
      </c>
      <c r="K51" s="105">
        <f t="shared" si="8"/>
        <v>66588.387096774182</v>
      </c>
      <c r="L51" s="105">
        <f t="shared" si="8"/>
        <v>66588.387096774182</v>
      </c>
      <c r="M51" s="105">
        <f t="shared" si="8"/>
        <v>66588.387096774182</v>
      </c>
      <c r="N51" s="105">
        <f t="shared" si="8"/>
        <v>66588.387096774182</v>
      </c>
      <c r="O51" s="105">
        <f t="shared" si="8"/>
        <v>66588.387096774182</v>
      </c>
      <c r="P51" s="105">
        <f t="shared" si="8"/>
        <v>66588.387096774182</v>
      </c>
      <c r="Q51" s="105">
        <f t="shared" si="8"/>
        <v>66588.387096774182</v>
      </c>
      <c r="R51" s="105">
        <f t="shared" si="8"/>
        <v>66588.387096774182</v>
      </c>
      <c r="S51" s="105">
        <f t="shared" si="8"/>
        <v>66588.387096774182</v>
      </c>
      <c r="T51" s="105">
        <f t="shared" si="8"/>
        <v>66588.387096774182</v>
      </c>
      <c r="U51" s="105">
        <f t="shared" si="8"/>
        <v>66588.387096774182</v>
      </c>
      <c r="V51" s="105">
        <f t="shared" si="8"/>
        <v>66588.387096774182</v>
      </c>
      <c r="W51" s="105">
        <f t="shared" si="8"/>
        <v>66588.387096774182</v>
      </c>
      <c r="X51" s="105">
        <f t="shared" si="8"/>
        <v>66588.387096774182</v>
      </c>
      <c r="Y51" s="105">
        <f t="shared" si="8"/>
        <v>66588.387096774182</v>
      </c>
      <c r="Z51" s="105">
        <f t="shared" si="8"/>
        <v>66588.387096774182</v>
      </c>
      <c r="AA51" s="105">
        <f t="shared" si="8"/>
        <v>66588.387096774182</v>
      </c>
      <c r="AB51" s="105">
        <f t="shared" si="8"/>
        <v>66588.387096774182</v>
      </c>
      <c r="AC51" s="105">
        <f t="shared" si="8"/>
        <v>66588.387096774182</v>
      </c>
      <c r="AD51" s="177">
        <f t="shared" si="8"/>
        <v>66588.387096774182</v>
      </c>
      <c r="AE51" s="187">
        <f>SUM(E51:AD51)</f>
        <v>1664709.6774193556</v>
      </c>
    </row>
    <row r="52" spans="2:31" x14ac:dyDescent="0.25">
      <c r="B52" s="134"/>
      <c r="C52" s="133"/>
      <c r="D52" s="89"/>
      <c r="E52" s="86"/>
      <c r="F52" s="167"/>
      <c r="G52" s="167"/>
      <c r="H52" s="167"/>
      <c r="I52" s="167"/>
      <c r="J52" s="167"/>
      <c r="K52" s="167"/>
      <c r="L52" s="167"/>
      <c r="M52" s="167"/>
      <c r="N52" s="167"/>
      <c r="O52" s="167"/>
      <c r="P52" s="170"/>
      <c r="Q52" s="170"/>
      <c r="R52" s="170"/>
      <c r="S52" s="170"/>
      <c r="T52" s="170"/>
      <c r="U52" s="170"/>
      <c r="V52" s="170"/>
      <c r="W52" s="170"/>
      <c r="X52" s="170"/>
      <c r="Y52" s="171"/>
      <c r="Z52" s="171"/>
      <c r="AA52" s="171"/>
      <c r="AB52" s="171"/>
      <c r="AC52" s="171"/>
      <c r="AD52" s="172"/>
      <c r="AE52" s="182"/>
    </row>
    <row r="53" spans="2:31" x14ac:dyDescent="0.25">
      <c r="B53" s="134" t="s">
        <v>3</v>
      </c>
      <c r="C53" s="133"/>
      <c r="D53" s="89"/>
      <c r="E53" s="105"/>
      <c r="F53" s="170"/>
      <c r="G53" s="170"/>
      <c r="H53" s="170"/>
      <c r="I53" s="170"/>
      <c r="J53" s="173"/>
      <c r="K53" s="170"/>
      <c r="L53" s="170"/>
      <c r="M53" s="173"/>
      <c r="N53" s="170"/>
      <c r="O53" s="170"/>
      <c r="P53" s="170"/>
      <c r="Q53" s="170"/>
      <c r="R53" s="170"/>
      <c r="S53" s="170"/>
      <c r="T53" s="170"/>
      <c r="U53" s="170"/>
      <c r="V53" s="170"/>
      <c r="W53" s="170"/>
      <c r="X53" s="170"/>
      <c r="Y53" s="170"/>
      <c r="Z53" s="170"/>
      <c r="AA53" s="170"/>
      <c r="AB53" s="170"/>
      <c r="AC53" s="170"/>
      <c r="AD53" s="89"/>
      <c r="AE53" s="201"/>
    </row>
    <row r="54" spans="2:31" x14ac:dyDescent="0.25">
      <c r="B54" s="250" t="s">
        <v>242</v>
      </c>
      <c r="C54" s="133"/>
      <c r="D54" s="89" t="s">
        <v>0</v>
      </c>
      <c r="E54" s="105">
        <f>IF(E19=0,0,(1-'Admin_&amp;_Transaction_Costs'!D83)*Generation_Rates!D54*'Key_Assumptions_&amp;_Inputs'!$E$53*(1+'Key_Assumptions_&amp;_Inputs'!$E$64)^(Community_Solar_Business_Case!E19-1))</f>
        <v>0</v>
      </c>
      <c r="F54" s="105">
        <f>IF(F19=0,0,(1-'Admin_&amp;_Transaction_Costs'!E83)*Generation_Rates!E54*'Key_Assumptions_&amp;_Inputs'!$E$53*(1+'Key_Assumptions_&amp;_Inputs'!$E$64)^(Community_Solar_Business_Case!F19-1))</f>
        <v>0</v>
      </c>
      <c r="G54" s="105">
        <f>IF(G19=0,0,(1-'Admin_&amp;_Transaction_Costs'!F83)*Generation_Rates!F54*'Key_Assumptions_&amp;_Inputs'!$E$53*(1+'Key_Assumptions_&amp;_Inputs'!$E$64)^(Community_Solar_Business_Case!G19-1))</f>
        <v>0</v>
      </c>
      <c r="H54" s="105">
        <f>IF(H19=0,0,(1-'Admin_&amp;_Transaction_Costs'!G83)*Generation_Rates!G54*'Key_Assumptions_&amp;_Inputs'!$E$53*(1+'Key_Assumptions_&amp;_Inputs'!$E$64)^(Community_Solar_Business_Case!H19-1))</f>
        <v>0</v>
      </c>
      <c r="I54" s="105">
        <f>IF(I19=0,0,(1-'Admin_&amp;_Transaction_Costs'!H83)*Generation_Rates!H54*'Key_Assumptions_&amp;_Inputs'!$E$53*(1+'Key_Assumptions_&amp;_Inputs'!$E$64)^(Community_Solar_Business_Case!I19-1))</f>
        <v>0</v>
      </c>
      <c r="J54" s="105">
        <f>IF(J19=0,0,(1-'Admin_&amp;_Transaction_Costs'!I83)*Generation_Rates!I54*'Key_Assumptions_&amp;_Inputs'!$E$53*(1+'Key_Assumptions_&amp;_Inputs'!$E$64)^(Community_Solar_Business_Case!J19-1))</f>
        <v>0</v>
      </c>
      <c r="K54" s="105">
        <f>IF(K19=0,0,(1-'Admin_&amp;_Transaction_Costs'!J83)*Generation_Rates!J54*'Key_Assumptions_&amp;_Inputs'!$E$53*(1+'Key_Assumptions_&amp;_Inputs'!$E$64)^(Community_Solar_Business_Case!K19-1))</f>
        <v>0</v>
      </c>
      <c r="L54" s="105">
        <f>IF(L19=0,0,(1-'Admin_&amp;_Transaction_Costs'!K83)*Generation_Rates!K54*'Key_Assumptions_&amp;_Inputs'!$E$53*(1+'Key_Assumptions_&amp;_Inputs'!$E$64)^(Community_Solar_Business_Case!L19-1))</f>
        <v>0</v>
      </c>
      <c r="M54" s="105">
        <f>IF(M19=0,0,(1-'Admin_&amp;_Transaction_Costs'!L83)*Generation_Rates!L54*'Key_Assumptions_&amp;_Inputs'!$E$53*(1+'Key_Assumptions_&amp;_Inputs'!$E$64)^(Community_Solar_Business_Case!M19-1))</f>
        <v>0</v>
      </c>
      <c r="N54" s="105">
        <f>IF(N19=0,0,(1-'Admin_&amp;_Transaction_Costs'!M83)*Generation_Rates!M54*'Key_Assumptions_&amp;_Inputs'!$E$53*(1+'Key_Assumptions_&amp;_Inputs'!$E$64)^(Community_Solar_Business_Case!N19-1))</f>
        <v>0</v>
      </c>
      <c r="O54" s="105">
        <f>IF(O19=0,0,(1-'Admin_&amp;_Transaction_Costs'!N83)*Generation_Rates!N54*'Key_Assumptions_&amp;_Inputs'!$E$53*(1+'Key_Assumptions_&amp;_Inputs'!$E$64)^(Community_Solar_Business_Case!O19-1))</f>
        <v>0</v>
      </c>
      <c r="P54" s="105">
        <f>IF(P19=0,0,(1-'Admin_&amp;_Transaction_Costs'!O83)*Generation_Rates!O54*'Key_Assumptions_&amp;_Inputs'!$E$53*(1+'Key_Assumptions_&amp;_Inputs'!$E$64)^(Community_Solar_Business_Case!P19-1))</f>
        <v>0</v>
      </c>
      <c r="Q54" s="105">
        <f>IF(Q19=0,0,(1-'Admin_&amp;_Transaction_Costs'!P83)*Generation_Rates!P54*'Key_Assumptions_&amp;_Inputs'!$E$53*(1+'Key_Assumptions_&amp;_Inputs'!$E$64)^(Community_Solar_Business_Case!Q19-1))</f>
        <v>0</v>
      </c>
      <c r="R54" s="105">
        <f>IF(R19=0,0,(1-'Admin_&amp;_Transaction_Costs'!Q83)*Generation_Rates!Q54*'Key_Assumptions_&amp;_Inputs'!$E$53*(1+'Key_Assumptions_&amp;_Inputs'!$E$64)^(Community_Solar_Business_Case!R19-1))</f>
        <v>0</v>
      </c>
      <c r="S54" s="105">
        <f>IF(S19=0,0,(1-'Admin_&amp;_Transaction_Costs'!R83)*Generation_Rates!R54*'Key_Assumptions_&amp;_Inputs'!$E$53*(1+'Key_Assumptions_&amp;_Inputs'!$E$64)^(Community_Solar_Business_Case!S19-1))</f>
        <v>0</v>
      </c>
      <c r="T54" s="105">
        <f>IF(T19=0,0,(1-'Admin_&amp;_Transaction_Costs'!S83)*Generation_Rates!S54*'Key_Assumptions_&amp;_Inputs'!$E$53*(1+'Key_Assumptions_&amp;_Inputs'!$E$64)^(Community_Solar_Business_Case!T19-1))</f>
        <v>0</v>
      </c>
      <c r="U54" s="105">
        <f>IF(U19=0,0,(1-'Admin_&amp;_Transaction_Costs'!T83)*Generation_Rates!T54*'Key_Assumptions_&amp;_Inputs'!$E$53*(1+'Key_Assumptions_&amp;_Inputs'!$E$64)^(Community_Solar_Business_Case!U19-1))</f>
        <v>0</v>
      </c>
      <c r="V54" s="105">
        <f>IF(V19=0,0,(1-'Admin_&amp;_Transaction_Costs'!U83)*Generation_Rates!U54*'Key_Assumptions_&amp;_Inputs'!$E$53*(1+'Key_Assumptions_&amp;_Inputs'!$E$64)^(Community_Solar_Business_Case!V19-1))</f>
        <v>0</v>
      </c>
      <c r="W54" s="105">
        <f>IF(W19=0,0,(1-'Admin_&amp;_Transaction_Costs'!V83)*Generation_Rates!V54*'Key_Assumptions_&amp;_Inputs'!$E$53*(1+'Key_Assumptions_&amp;_Inputs'!$E$64)^(Community_Solar_Business_Case!W19-1))</f>
        <v>0</v>
      </c>
      <c r="X54" s="105">
        <f>IF(X19=0,0,(1-'Admin_&amp;_Transaction_Costs'!W83)*Generation_Rates!W54*'Key_Assumptions_&amp;_Inputs'!$E$53*(1+'Key_Assumptions_&amp;_Inputs'!$E$64)^(Community_Solar_Business_Case!X19-1))</f>
        <v>0</v>
      </c>
      <c r="Y54" s="105">
        <f>IF(Y19=0,0,(1-'Admin_&amp;_Transaction_Costs'!X83)*Generation_Rates!X54*'Key_Assumptions_&amp;_Inputs'!$E$53*(1+'Key_Assumptions_&amp;_Inputs'!$E$64)^(Community_Solar_Business_Case!Y19-1))</f>
        <v>0</v>
      </c>
      <c r="Z54" s="105">
        <f>IF(Z19=0,0,(1-'Admin_&amp;_Transaction_Costs'!Y83)*Generation_Rates!Y54*'Key_Assumptions_&amp;_Inputs'!$E$53*(1+'Key_Assumptions_&amp;_Inputs'!$E$64)^(Community_Solar_Business_Case!Z19-1))</f>
        <v>0</v>
      </c>
      <c r="AA54" s="105">
        <f>IF(AA19=0,0,(1-'Admin_&amp;_Transaction_Costs'!Z83)*Generation_Rates!Z54*'Key_Assumptions_&amp;_Inputs'!$E$53*(1+'Key_Assumptions_&amp;_Inputs'!$E$64)^(Community_Solar_Business_Case!AA19-1))</f>
        <v>0</v>
      </c>
      <c r="AB54" s="105">
        <f>IF(AB19=0,0,(1-'Admin_&amp;_Transaction_Costs'!AA83)*Generation_Rates!AA54*'Key_Assumptions_&amp;_Inputs'!$E$53*(1+'Key_Assumptions_&amp;_Inputs'!$E$64)^(Community_Solar_Business_Case!AB19-1))</f>
        <v>0</v>
      </c>
      <c r="AC54" s="105">
        <f>IF(AC19=0,0,(1-'Admin_&amp;_Transaction_Costs'!AB83)*Generation_Rates!AB54*'Key_Assumptions_&amp;_Inputs'!$E$53*(1+'Key_Assumptions_&amp;_Inputs'!$E$64)^(Community_Solar_Business_Case!AC19-1))</f>
        <v>0</v>
      </c>
      <c r="AD54" s="177">
        <f>IF(AD19=0,0,(1-'Admin_&amp;_Transaction_Costs'!AC83)*Generation_Rates!AC54*'Key_Assumptions_&amp;_Inputs'!$E$53*(1+'Key_Assumptions_&amp;_Inputs'!$E$64)^(Community_Solar_Business_Case!AD19-1))</f>
        <v>0</v>
      </c>
      <c r="AE54" s="201"/>
    </row>
    <row r="55" spans="2:31" s="99" customFormat="1" x14ac:dyDescent="0.25">
      <c r="B55" s="143" t="s">
        <v>36</v>
      </c>
      <c r="C55" s="133"/>
      <c r="D55" s="94" t="s">
        <v>0</v>
      </c>
      <c r="E55" s="202">
        <v>0</v>
      </c>
      <c r="F55" s="202">
        <f>IF(F19&lt;='Key_Assumptions_&amp;_Inputs'!$J$65,'Key_Assumptions_&amp;_Inputs'!$J$63*Generation_Rates!E54*'Key_Assumptions_&amp;_Inputs'!$J$64/'Key_Assumptions_&amp;_Inputs'!$J$65/1000,0)</f>
        <v>241570.48499999999</v>
      </c>
      <c r="G55" s="202">
        <f>IF(G19&lt;='Key_Assumptions_&amp;_Inputs'!$J$65,'Key_Assumptions_&amp;_Inputs'!$J$63*Generation_Rates!F54*'Key_Assumptions_&amp;_Inputs'!$J$64/'Key_Assumptions_&amp;_Inputs'!$J$65/1000,0)</f>
        <v>240362.632575</v>
      </c>
      <c r="H55" s="202">
        <f>IF(H19&lt;='Key_Assumptions_&amp;_Inputs'!$J$65,'Key_Assumptions_&amp;_Inputs'!$J$63*Generation_Rates!G54*'Key_Assumptions_&amp;_Inputs'!$J$64/'Key_Assumptions_&amp;_Inputs'!$J$65/1000,0)</f>
        <v>239154.78015000004</v>
      </c>
      <c r="I55" s="202">
        <f>IF(I19&lt;='Key_Assumptions_&amp;_Inputs'!$J$65,'Key_Assumptions_&amp;_Inputs'!$J$63*Generation_Rates!H54*'Key_Assumptions_&amp;_Inputs'!$J$64/'Key_Assumptions_&amp;_Inputs'!$J$65/1000,0)</f>
        <v>237946.92772499996</v>
      </c>
      <c r="J55" s="202">
        <f>IF(J19&lt;='Key_Assumptions_&amp;_Inputs'!$J$65,'Key_Assumptions_&amp;_Inputs'!$J$63*Generation_Rates!I54*'Key_Assumptions_&amp;_Inputs'!$J$64/'Key_Assumptions_&amp;_Inputs'!$J$65/1000,0)</f>
        <v>236739.07530000003</v>
      </c>
      <c r="K55" s="202">
        <f>IF(K19&lt;='Key_Assumptions_&amp;_Inputs'!$J$65,'Key_Assumptions_&amp;_Inputs'!$J$63*Generation_Rates!J54*'Key_Assumptions_&amp;_Inputs'!$J$64/'Key_Assumptions_&amp;_Inputs'!$J$65/1000,0)</f>
        <v>0</v>
      </c>
      <c r="L55" s="202">
        <f>IF(L19&lt;='Key_Assumptions_&amp;_Inputs'!$J$65,'Key_Assumptions_&amp;_Inputs'!$J$63*Generation_Rates!K54*'Key_Assumptions_&amp;_Inputs'!$J$64/'Key_Assumptions_&amp;_Inputs'!$J$65/1000,0)</f>
        <v>0</v>
      </c>
      <c r="M55" s="202">
        <f>IF(M19&lt;='Key_Assumptions_&amp;_Inputs'!$J$65,'Key_Assumptions_&amp;_Inputs'!$J$63*Generation_Rates!L54*'Key_Assumptions_&amp;_Inputs'!$J$64/'Key_Assumptions_&amp;_Inputs'!$J$65/1000,0)</f>
        <v>0</v>
      </c>
      <c r="N55" s="202">
        <f>IF(N19&lt;='Key_Assumptions_&amp;_Inputs'!$J$65,'Key_Assumptions_&amp;_Inputs'!$J$63*Generation_Rates!M54*'Key_Assumptions_&amp;_Inputs'!$J$64/'Key_Assumptions_&amp;_Inputs'!$J$65/1000,0)</f>
        <v>0</v>
      </c>
      <c r="O55" s="202">
        <f>IF(O19&lt;='Key_Assumptions_&amp;_Inputs'!$J$65,'Key_Assumptions_&amp;_Inputs'!$J$63*Generation_Rates!N54*'Key_Assumptions_&amp;_Inputs'!$J$64/'Key_Assumptions_&amp;_Inputs'!$J$65/1000,0)</f>
        <v>0</v>
      </c>
      <c r="P55" s="202">
        <f>IF(P19&lt;='Key_Assumptions_&amp;_Inputs'!$J$65,'Key_Assumptions_&amp;_Inputs'!$J$63*Generation_Rates!O54*'Key_Assumptions_&amp;_Inputs'!$J$64/'Key_Assumptions_&amp;_Inputs'!$J$65/1000,0)</f>
        <v>0</v>
      </c>
      <c r="Q55" s="202">
        <f>IF(Q19&lt;='Key_Assumptions_&amp;_Inputs'!$J$65,'Key_Assumptions_&amp;_Inputs'!$J$63*Generation_Rates!P54*'Key_Assumptions_&amp;_Inputs'!$J$64/'Key_Assumptions_&amp;_Inputs'!$J$65/1000,0)</f>
        <v>0</v>
      </c>
      <c r="R55" s="202">
        <f>IF(R19&lt;='Key_Assumptions_&amp;_Inputs'!$J$65,'Key_Assumptions_&amp;_Inputs'!$J$63*Generation_Rates!Q54*'Key_Assumptions_&amp;_Inputs'!$J$64/'Key_Assumptions_&amp;_Inputs'!$J$65/1000,0)</f>
        <v>0</v>
      </c>
      <c r="S55" s="202">
        <f>IF(S19&lt;='Key_Assumptions_&amp;_Inputs'!$J$65,'Key_Assumptions_&amp;_Inputs'!$J$63*Generation_Rates!R54*'Key_Assumptions_&amp;_Inputs'!$J$64/'Key_Assumptions_&amp;_Inputs'!$J$65/1000,0)</f>
        <v>0</v>
      </c>
      <c r="T55" s="202">
        <f>IF(T19&lt;='Key_Assumptions_&amp;_Inputs'!$J$65,'Key_Assumptions_&amp;_Inputs'!$J$63*Generation_Rates!S54*'Key_Assumptions_&amp;_Inputs'!$J$64/'Key_Assumptions_&amp;_Inputs'!$J$65/1000,0)</f>
        <v>0</v>
      </c>
      <c r="U55" s="202">
        <f>IF(U19&lt;='Key_Assumptions_&amp;_Inputs'!$J$65,'Key_Assumptions_&amp;_Inputs'!$J$63*Generation_Rates!T54*'Key_Assumptions_&amp;_Inputs'!$J$64/'Key_Assumptions_&amp;_Inputs'!$J$65/1000,0)</f>
        <v>0</v>
      </c>
      <c r="V55" s="202">
        <f>IF(V19&lt;='Key_Assumptions_&amp;_Inputs'!$J$65,'Key_Assumptions_&amp;_Inputs'!$J$63*Generation_Rates!U54*'Key_Assumptions_&amp;_Inputs'!$J$64/'Key_Assumptions_&amp;_Inputs'!$J$65/1000,0)</f>
        <v>0</v>
      </c>
      <c r="W55" s="202">
        <f>IF(W19&lt;='Key_Assumptions_&amp;_Inputs'!$J$65,'Key_Assumptions_&amp;_Inputs'!$J$63*Generation_Rates!V54*'Key_Assumptions_&amp;_Inputs'!$J$64/'Key_Assumptions_&amp;_Inputs'!$J$65/1000,0)</f>
        <v>0</v>
      </c>
      <c r="X55" s="202">
        <f>IF(X19&lt;='Key_Assumptions_&amp;_Inputs'!$J$65,'Key_Assumptions_&amp;_Inputs'!$J$63*Generation_Rates!W54*'Key_Assumptions_&amp;_Inputs'!$J$64/'Key_Assumptions_&amp;_Inputs'!$J$65/1000,0)</f>
        <v>0</v>
      </c>
      <c r="Y55" s="202">
        <f>IF(Y19&lt;='Key_Assumptions_&amp;_Inputs'!$J$65,'Key_Assumptions_&amp;_Inputs'!$J$63*Generation_Rates!X54*'Key_Assumptions_&amp;_Inputs'!$J$64/'Key_Assumptions_&amp;_Inputs'!$J$65/1000,0)</f>
        <v>0</v>
      </c>
      <c r="Z55" s="202">
        <f>IF(Z19&lt;='Key_Assumptions_&amp;_Inputs'!$J$65,'Key_Assumptions_&amp;_Inputs'!$J$63*Generation_Rates!Y54*'Key_Assumptions_&amp;_Inputs'!$J$64/'Key_Assumptions_&amp;_Inputs'!$J$65/1000,0)</f>
        <v>0</v>
      </c>
      <c r="AA55" s="202">
        <f>IF(AA19&lt;='Key_Assumptions_&amp;_Inputs'!$J$65,'Key_Assumptions_&amp;_Inputs'!$J$63*Generation_Rates!Z54*'Key_Assumptions_&amp;_Inputs'!$J$64/'Key_Assumptions_&amp;_Inputs'!$J$65/1000,0)</f>
        <v>0</v>
      </c>
      <c r="AB55" s="202">
        <f>IF(AB19&lt;='Key_Assumptions_&amp;_Inputs'!$J$65,'Key_Assumptions_&amp;_Inputs'!$J$63*Generation_Rates!AA54*'Key_Assumptions_&amp;_Inputs'!$J$64/'Key_Assumptions_&amp;_Inputs'!$J$65/1000,0)</f>
        <v>0</v>
      </c>
      <c r="AC55" s="202">
        <f>IF(AC19&lt;='Key_Assumptions_&amp;_Inputs'!$J$65,'Key_Assumptions_&amp;_Inputs'!$J$63*Generation_Rates!AB54*'Key_Assumptions_&amp;_Inputs'!$J$64/'Key_Assumptions_&amp;_Inputs'!$J$65/1000,0)</f>
        <v>0</v>
      </c>
      <c r="AD55" s="203">
        <f>IF(AD19&lt;='Key_Assumptions_&amp;_Inputs'!$J$65,'Key_Assumptions_&amp;_Inputs'!$J$63*Generation_Rates!AC54*'Key_Assumptions_&amp;_Inputs'!$J$64/'Key_Assumptions_&amp;_Inputs'!$J$65/1000,0)</f>
        <v>0</v>
      </c>
      <c r="AE55" s="204">
        <f>SUM(E55:AD55)</f>
        <v>1195773.90075</v>
      </c>
    </row>
    <row r="56" spans="2:31" x14ac:dyDescent="0.25">
      <c r="B56" s="132" t="s">
        <v>20</v>
      </c>
      <c r="C56" s="133"/>
      <c r="D56" s="93" t="s">
        <v>0</v>
      </c>
      <c r="E56" s="205">
        <f>IF(E19&lt;&gt;25,0,-'Key_Assumptions_&amp;_Inputs'!$J$67*Community_Solar_Business_Case!$E$23)</f>
        <v>0</v>
      </c>
      <c r="F56" s="206">
        <f>IF(F19&lt;&gt;25,0,-'Key_Assumptions_&amp;_Inputs'!$J$67*Community_Solar_Business_Case!$E$23)</f>
        <v>0</v>
      </c>
      <c r="G56" s="206">
        <f>IF(G19&lt;&gt;25,0,-'Key_Assumptions_&amp;_Inputs'!$J$67*Community_Solar_Business_Case!$E$23)</f>
        <v>0</v>
      </c>
      <c r="H56" s="206">
        <f>IF(H19&lt;&gt;25,0,-'Key_Assumptions_&amp;_Inputs'!$J$67*Community_Solar_Business_Case!$E$23)</f>
        <v>0</v>
      </c>
      <c r="I56" s="206">
        <f>IF(I19&lt;&gt;25,0,-'Key_Assumptions_&amp;_Inputs'!$J$67*Community_Solar_Business_Case!$E$23)</f>
        <v>0</v>
      </c>
      <c r="J56" s="206">
        <f>IF(J19&lt;&gt;25,0,-'Key_Assumptions_&amp;_Inputs'!$J$67*Community_Solar_Business_Case!$E$23)</f>
        <v>0</v>
      </c>
      <c r="K56" s="206">
        <f>IF(K19&lt;&gt;25,0,-'Key_Assumptions_&amp;_Inputs'!$J$67*Community_Solar_Business_Case!$E$23)</f>
        <v>0</v>
      </c>
      <c r="L56" s="206">
        <f>IF(L19&lt;&gt;25,0,-'Key_Assumptions_&amp;_Inputs'!$J$67*Community_Solar_Business_Case!$E$23)</f>
        <v>0</v>
      </c>
      <c r="M56" s="206">
        <f>IF(M19&lt;&gt;25,0,-'Key_Assumptions_&amp;_Inputs'!$J$67*Community_Solar_Business_Case!$E$23)</f>
        <v>0</v>
      </c>
      <c r="N56" s="206">
        <f>IF(N19&lt;&gt;25,0,-'Key_Assumptions_&amp;_Inputs'!$J$67*Community_Solar_Business_Case!$E$23)</f>
        <v>0</v>
      </c>
      <c r="O56" s="206">
        <f>IF(O19&lt;&gt;25,0,-'Key_Assumptions_&amp;_Inputs'!$J$67*Community_Solar_Business_Case!$E$23)</f>
        <v>0</v>
      </c>
      <c r="P56" s="206">
        <f>IF(P19&lt;&gt;25,0,-'Key_Assumptions_&amp;_Inputs'!$J$67*Community_Solar_Business_Case!$E$23)</f>
        <v>0</v>
      </c>
      <c r="Q56" s="206">
        <f>IF(Q19&lt;&gt;25,0,-'Key_Assumptions_&amp;_Inputs'!$J$67*Community_Solar_Business_Case!$E$23)</f>
        <v>0</v>
      </c>
      <c r="R56" s="206">
        <f>IF(R19&lt;&gt;25,0,-'Key_Assumptions_&amp;_Inputs'!$J$67*Community_Solar_Business_Case!$E$23)</f>
        <v>0</v>
      </c>
      <c r="S56" s="206">
        <f>IF(S19&lt;&gt;25,0,-'Key_Assumptions_&amp;_Inputs'!$J$67*Community_Solar_Business_Case!$E$23)</f>
        <v>0</v>
      </c>
      <c r="T56" s="206">
        <f>IF(T19&lt;&gt;25,0,-'Key_Assumptions_&amp;_Inputs'!$J$67*Community_Solar_Business_Case!$E$23)</f>
        <v>0</v>
      </c>
      <c r="U56" s="206">
        <f>IF(U19&lt;&gt;25,0,-'Key_Assumptions_&amp;_Inputs'!$J$67*Community_Solar_Business_Case!$E$23)</f>
        <v>0</v>
      </c>
      <c r="V56" s="206">
        <f>IF(V19&lt;&gt;25,0,-'Key_Assumptions_&amp;_Inputs'!$J$67*Community_Solar_Business_Case!$E$23)</f>
        <v>0</v>
      </c>
      <c r="W56" s="206">
        <f>IF(W19&lt;&gt;25,0,-'Key_Assumptions_&amp;_Inputs'!$J$67*Community_Solar_Business_Case!$E$23)</f>
        <v>0</v>
      </c>
      <c r="X56" s="206">
        <f>IF(X19&lt;&gt;25,0,-'Key_Assumptions_&amp;_Inputs'!$J$67*Community_Solar_Business_Case!$E$23)</f>
        <v>0</v>
      </c>
      <c r="Y56" s="206">
        <f>IF(Y19&lt;&gt;25,0,-'Key_Assumptions_&amp;_Inputs'!$J$67*Community_Solar_Business_Case!$E$23)</f>
        <v>0</v>
      </c>
      <c r="Z56" s="206">
        <f>IF(Z19&lt;&gt;25,0,-'Key_Assumptions_&amp;_Inputs'!$J$67*Community_Solar_Business_Case!$E$23)</f>
        <v>0</v>
      </c>
      <c r="AA56" s="206">
        <f>IF(AA19&lt;&gt;25,0,-'Key_Assumptions_&amp;_Inputs'!$J$67*Community_Solar_Business_Case!$E$23)</f>
        <v>0</v>
      </c>
      <c r="AB56" s="206">
        <f>IF(AB19&lt;&gt;25,0,-'Key_Assumptions_&amp;_Inputs'!$J$67*Community_Solar_Business_Case!$E$23)</f>
        <v>0</v>
      </c>
      <c r="AC56" s="206">
        <f>IF(AC19&lt;&gt;25,0,-'Key_Assumptions_&amp;_Inputs'!$J$67*Community_Solar_Business_Case!$E$23)</f>
        <v>0</v>
      </c>
      <c r="AD56" s="207">
        <f>IF(AD19&lt;&gt;25,0,-'Key_Assumptions_&amp;_Inputs'!$J$67*Community_Solar_Business_Case!$E$23)</f>
        <v>0</v>
      </c>
      <c r="AE56" s="208">
        <f>SUM(E56:AD56)</f>
        <v>0</v>
      </c>
    </row>
    <row r="57" spans="2:31" x14ac:dyDescent="0.25">
      <c r="B57" s="135" t="s">
        <v>19</v>
      </c>
      <c r="C57" s="136"/>
      <c r="D57" s="89" t="s">
        <v>0</v>
      </c>
      <c r="E57" s="209">
        <f>SUM(E54:E56)</f>
        <v>0</v>
      </c>
      <c r="F57" s="209">
        <f>SUM(F54:F56)</f>
        <v>241570.48499999999</v>
      </c>
      <c r="G57" s="209">
        <f t="shared" ref="G57:AD57" si="9">SUM(G54:G56)</f>
        <v>240362.632575</v>
      </c>
      <c r="H57" s="209">
        <f t="shared" si="9"/>
        <v>239154.78015000004</v>
      </c>
      <c r="I57" s="209">
        <f t="shared" si="9"/>
        <v>237946.92772499996</v>
      </c>
      <c r="J57" s="209">
        <f t="shared" si="9"/>
        <v>236739.07530000003</v>
      </c>
      <c r="K57" s="209">
        <f t="shared" si="9"/>
        <v>0</v>
      </c>
      <c r="L57" s="209">
        <f t="shared" si="9"/>
        <v>0</v>
      </c>
      <c r="M57" s="209">
        <f t="shared" si="9"/>
        <v>0</v>
      </c>
      <c r="N57" s="209">
        <f t="shared" si="9"/>
        <v>0</v>
      </c>
      <c r="O57" s="209">
        <f t="shared" si="9"/>
        <v>0</v>
      </c>
      <c r="P57" s="209">
        <f t="shared" si="9"/>
        <v>0</v>
      </c>
      <c r="Q57" s="209">
        <f t="shared" si="9"/>
        <v>0</v>
      </c>
      <c r="R57" s="209">
        <f t="shared" si="9"/>
        <v>0</v>
      </c>
      <c r="S57" s="209">
        <f t="shared" si="9"/>
        <v>0</v>
      </c>
      <c r="T57" s="209">
        <f t="shared" si="9"/>
        <v>0</v>
      </c>
      <c r="U57" s="209">
        <f t="shared" si="9"/>
        <v>0</v>
      </c>
      <c r="V57" s="209">
        <f t="shared" si="9"/>
        <v>0</v>
      </c>
      <c r="W57" s="209">
        <f t="shared" si="9"/>
        <v>0</v>
      </c>
      <c r="X57" s="209">
        <f t="shared" si="9"/>
        <v>0</v>
      </c>
      <c r="Y57" s="209">
        <f t="shared" si="9"/>
        <v>0</v>
      </c>
      <c r="Z57" s="209">
        <f t="shared" si="9"/>
        <v>0</v>
      </c>
      <c r="AA57" s="209">
        <f t="shared" si="9"/>
        <v>0</v>
      </c>
      <c r="AB57" s="209">
        <f t="shared" si="9"/>
        <v>0</v>
      </c>
      <c r="AC57" s="209">
        <f t="shared" si="9"/>
        <v>0</v>
      </c>
      <c r="AD57" s="210">
        <f t="shared" si="9"/>
        <v>0</v>
      </c>
      <c r="AE57" s="179">
        <f>SUM(E57:AD57)</f>
        <v>1195773.90075</v>
      </c>
    </row>
    <row r="58" spans="2:31" ht="15.75" thickBot="1" x14ac:dyDescent="0.3">
      <c r="B58" s="144"/>
      <c r="C58" s="145"/>
      <c r="D58" s="100"/>
      <c r="E58" s="211"/>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3"/>
      <c r="AE58" s="214"/>
    </row>
    <row r="59" spans="2:31" x14ac:dyDescent="0.25">
      <c r="B59" s="146" t="s">
        <v>8</v>
      </c>
      <c r="C59" s="131"/>
      <c r="D59" s="101" t="s">
        <v>0</v>
      </c>
      <c r="E59" s="174">
        <f>E24+E29+E36+E44+E57+E51</f>
        <v>-1446516.4816129035</v>
      </c>
      <c r="F59" s="174">
        <f>F24+F29+F36+F44+F57+F51</f>
        <v>403383.2220967742</v>
      </c>
      <c r="G59" s="174">
        <f t="shared" ref="G59:AD59" si="10">G24+G29+G36+G44+G57+G51</f>
        <v>508452.62576552422</v>
      </c>
      <c r="H59" s="174">
        <f t="shared" si="10"/>
        <v>413009.90262624691</v>
      </c>
      <c r="I59" s="174">
        <f t="shared" si="10"/>
        <v>354421.89270540571</v>
      </c>
      <c r="J59" s="174">
        <f t="shared" si="10"/>
        <v>353066.4559971437</v>
      </c>
      <c r="K59" s="174">
        <f t="shared" si="10"/>
        <v>73050.366737154734</v>
      </c>
      <c r="L59" s="174">
        <f t="shared" si="10"/>
        <v>29765.280342366146</v>
      </c>
      <c r="M59" s="174">
        <f t="shared" si="10"/>
        <v>29479.812139733905</v>
      </c>
      <c r="N59" s="174">
        <f t="shared" si="10"/>
        <v>29185.779891022699</v>
      </c>
      <c r="O59" s="174">
        <f t="shared" si="10"/>
        <v>28882.926674850154</v>
      </c>
      <c r="P59" s="174">
        <f t="shared" si="10"/>
        <v>28570.987862192429</v>
      </c>
      <c r="Q59" s="174">
        <f t="shared" si="10"/>
        <v>28249.690885154982</v>
      </c>
      <c r="R59" s="174">
        <f t="shared" si="10"/>
        <v>27918.754998806398</v>
      </c>
      <c r="S59" s="174">
        <f t="shared" si="10"/>
        <v>27577.891035867367</v>
      </c>
      <c r="T59" s="174">
        <f t="shared" si="10"/>
        <v>27226.801154040164</v>
      </c>
      <c r="U59" s="174">
        <f t="shared" si="10"/>
        <v>26865.178575758146</v>
      </c>
      <c r="V59" s="174">
        <f t="shared" si="10"/>
        <v>26492.707320127665</v>
      </c>
      <c r="W59" s="174">
        <f t="shared" si="10"/>
        <v>26109.061926828268</v>
      </c>
      <c r="X59" s="174">
        <f t="shared" si="10"/>
        <v>25713.907171729887</v>
      </c>
      <c r="Y59" s="174">
        <f t="shared" si="10"/>
        <v>25306.897773978562</v>
      </c>
      <c r="Z59" s="174">
        <f t="shared" si="10"/>
        <v>24887.678094294693</v>
      </c>
      <c r="AA59" s="174">
        <f t="shared" si="10"/>
        <v>24455.881824220305</v>
      </c>
      <c r="AB59" s="174">
        <f t="shared" si="10"/>
        <v>24011.131666043693</v>
      </c>
      <c r="AC59" s="174">
        <f t="shared" si="10"/>
        <v>23553.039003121776</v>
      </c>
      <c r="AD59" s="178">
        <f t="shared" si="10"/>
        <v>23081.203560312206</v>
      </c>
      <c r="AE59" s="215">
        <f>SUM(E59:AD59)</f>
        <v>1166202.5962157955</v>
      </c>
    </row>
    <row r="60" spans="2:31" ht="15.75" thickBot="1" x14ac:dyDescent="0.3">
      <c r="B60" s="147" t="s">
        <v>9</v>
      </c>
      <c r="C60" s="145"/>
      <c r="D60" s="100" t="s">
        <v>0</v>
      </c>
      <c r="E60" s="212">
        <f>E59</f>
        <v>-1446516.4816129035</v>
      </c>
      <c r="F60" s="212">
        <f>E60+F59</f>
        <v>-1043133.2595161293</v>
      </c>
      <c r="G60" s="212">
        <f>F60+G59</f>
        <v>-534680.63375060505</v>
      </c>
      <c r="H60" s="212">
        <f>G60+H59</f>
        <v>-121670.73112435814</v>
      </c>
      <c r="I60" s="212">
        <f>H60+I59</f>
        <v>232751.16158104758</v>
      </c>
      <c r="J60" s="212">
        <f>I60+J59</f>
        <v>585817.61757819122</v>
      </c>
      <c r="K60" s="212">
        <f t="shared" ref="K60:Y60" si="11">J60+K59</f>
        <v>658867.984315346</v>
      </c>
      <c r="L60" s="212">
        <f t="shared" si="11"/>
        <v>688633.26465771219</v>
      </c>
      <c r="M60" s="212">
        <f t="shared" si="11"/>
        <v>718113.07679744612</v>
      </c>
      <c r="N60" s="212">
        <f t="shared" si="11"/>
        <v>747298.85668846883</v>
      </c>
      <c r="O60" s="212">
        <f t="shared" si="11"/>
        <v>776181.783363319</v>
      </c>
      <c r="P60" s="212">
        <f t="shared" si="11"/>
        <v>804752.77122551145</v>
      </c>
      <c r="Q60" s="212">
        <f t="shared" si="11"/>
        <v>833002.46211066644</v>
      </c>
      <c r="R60" s="212">
        <f t="shared" si="11"/>
        <v>860921.21710947284</v>
      </c>
      <c r="S60" s="212">
        <f t="shared" si="11"/>
        <v>888499.10814534023</v>
      </c>
      <c r="T60" s="212">
        <f t="shared" si="11"/>
        <v>915725.90929938038</v>
      </c>
      <c r="U60" s="212">
        <f t="shared" si="11"/>
        <v>942591.0878751385</v>
      </c>
      <c r="V60" s="212">
        <f t="shared" si="11"/>
        <v>969083.79519526614</v>
      </c>
      <c r="W60" s="212">
        <f t="shared" si="11"/>
        <v>995192.85712209437</v>
      </c>
      <c r="X60" s="212">
        <f t="shared" si="11"/>
        <v>1020906.7642938242</v>
      </c>
      <c r="Y60" s="212">
        <f t="shared" si="11"/>
        <v>1046213.6620678027</v>
      </c>
      <c r="Z60" s="212">
        <f>Y60+Z59</f>
        <v>1071101.3401620975</v>
      </c>
      <c r="AA60" s="212">
        <f>Z60+AA59</f>
        <v>1095557.2219863178</v>
      </c>
      <c r="AB60" s="212">
        <f>AA60+AB59</f>
        <v>1119568.3536523615</v>
      </c>
      <c r="AC60" s="212">
        <f>AB60+AC59</f>
        <v>1143121.3926554832</v>
      </c>
      <c r="AD60" s="213">
        <f>AC60+AD59</f>
        <v>1166202.5962157955</v>
      </c>
      <c r="AE60" s="214"/>
    </row>
    <row r="61" spans="2:31" ht="15.75" thickBot="1" x14ac:dyDescent="0.3">
      <c r="B61" s="148" t="s">
        <v>63</v>
      </c>
      <c r="C61" s="149"/>
      <c r="D61" s="102"/>
      <c r="E61" s="216">
        <f>SUM(F61:Y61)</f>
        <v>3.3432934974631787</v>
      </c>
      <c r="F61" s="216">
        <f>IF(F60&lt;0,1,IF(AND(F60&gt;0,E60&lt;0),(-E60/(F60-E60)),0))</f>
        <v>1</v>
      </c>
      <c r="G61" s="216">
        <f t="shared" ref="G61:Y61" si="12">IF(F61=0,0,IF(G60&lt;0,1,IF(AND(G60&gt;0,F60&lt;0),(-F60/(G60-F60)),0)))</f>
        <v>1</v>
      </c>
      <c r="H61" s="216">
        <f t="shared" si="12"/>
        <v>1</v>
      </c>
      <c r="I61" s="216">
        <f t="shared" si="12"/>
        <v>0.34329349746317855</v>
      </c>
      <c r="J61" s="216">
        <f t="shared" si="12"/>
        <v>0</v>
      </c>
      <c r="K61" s="216">
        <f t="shared" si="12"/>
        <v>0</v>
      </c>
      <c r="L61" s="216">
        <f t="shared" si="12"/>
        <v>0</v>
      </c>
      <c r="M61" s="216">
        <f t="shared" si="12"/>
        <v>0</v>
      </c>
      <c r="N61" s="216">
        <f t="shared" si="12"/>
        <v>0</v>
      </c>
      <c r="O61" s="216">
        <f t="shared" si="12"/>
        <v>0</v>
      </c>
      <c r="P61" s="216">
        <f t="shared" si="12"/>
        <v>0</v>
      </c>
      <c r="Q61" s="216">
        <f t="shared" si="12"/>
        <v>0</v>
      </c>
      <c r="R61" s="216">
        <f t="shared" si="12"/>
        <v>0</v>
      </c>
      <c r="S61" s="216">
        <f t="shared" si="12"/>
        <v>0</v>
      </c>
      <c r="T61" s="216">
        <f t="shared" si="12"/>
        <v>0</v>
      </c>
      <c r="U61" s="216">
        <f t="shared" si="12"/>
        <v>0</v>
      </c>
      <c r="V61" s="216">
        <f t="shared" si="12"/>
        <v>0</v>
      </c>
      <c r="W61" s="216">
        <f t="shared" si="12"/>
        <v>0</v>
      </c>
      <c r="X61" s="216">
        <f t="shared" si="12"/>
        <v>0</v>
      </c>
      <c r="Y61" s="216">
        <f t="shared" si="12"/>
        <v>0</v>
      </c>
      <c r="Z61" s="216">
        <f>IF(Y61=0,0,IF(Z60&lt;0,1,IF(AND(Z60&gt;0,Y60&lt;0),(-Y60/(Z60-Y60)),0)))</f>
        <v>0</v>
      </c>
      <c r="AA61" s="216">
        <f>IF(Z61=0,0,IF(AA60&lt;0,1,IF(AND(AA60&gt;0,Z60&lt;0),(-Z60/(AA60-Z60)),0)))</f>
        <v>0</v>
      </c>
      <c r="AB61" s="216">
        <f>IF(AA61=0,0,IF(AB60&lt;0,1,IF(AND(AB60&gt;0,AA60&lt;0),(-AA60/(AB60-AA60)),0)))</f>
        <v>0</v>
      </c>
      <c r="AC61" s="216">
        <f>IF(AB61=0,0,IF(AC60&lt;0,1,IF(AND(AC60&gt;0,AB60&lt;0),(-AB60/(AC60-AB60)),0)))</f>
        <v>0</v>
      </c>
      <c r="AD61" s="217">
        <f>IF(AC61=0,0,IF(AD60&lt;0,1,IF(AND(AD60&gt;0,AC60&lt;0),(-AC60/(AD60-AC60)),0)))</f>
        <v>0</v>
      </c>
      <c r="AE61" s="218"/>
    </row>
    <row r="62" spans="2:31" x14ac:dyDescent="0.25">
      <c r="F62" s="84"/>
    </row>
    <row r="63" spans="2:31" x14ac:dyDescent="0.25">
      <c r="B63" s="71"/>
      <c r="C63" s="150" t="s">
        <v>10</v>
      </c>
      <c r="D63" s="150" t="s">
        <v>0</v>
      </c>
      <c r="E63" s="158">
        <f>E59</f>
        <v>-1446516.4816129035</v>
      </c>
      <c r="G63" s="103"/>
      <c r="H63" s="104"/>
      <c r="I63" s="98"/>
      <c r="J63" s="104"/>
      <c r="K63" s="98"/>
      <c r="L63" s="90"/>
      <c r="AE63" s="105"/>
    </row>
    <row r="64" spans="2:31" x14ac:dyDescent="0.25">
      <c r="C64" s="150" t="s">
        <v>11</v>
      </c>
      <c r="D64" s="150" t="s">
        <v>0</v>
      </c>
      <c r="E64" s="158">
        <f>F59</f>
        <v>403383.2220967742</v>
      </c>
      <c r="G64" s="106"/>
      <c r="H64" s="104"/>
      <c r="I64" s="107"/>
      <c r="J64" s="98"/>
      <c r="K64" s="98"/>
      <c r="L64" s="108"/>
      <c r="AE64" s="105"/>
    </row>
    <row r="65" spans="2:31" x14ac:dyDescent="0.25">
      <c r="G65" s="109"/>
      <c r="H65" s="104"/>
      <c r="I65" s="110"/>
      <c r="J65" s="104"/>
      <c r="K65" s="98"/>
      <c r="L65" s="90"/>
      <c r="AE65" s="98"/>
    </row>
    <row r="66" spans="2:31" x14ac:dyDescent="0.25">
      <c r="E66" s="68" t="s">
        <v>183</v>
      </c>
      <c r="F66" s="68" t="s">
        <v>37</v>
      </c>
      <c r="G66" s="109"/>
      <c r="H66" s="104"/>
      <c r="I66" s="110"/>
      <c r="J66" s="104"/>
      <c r="K66" s="98"/>
      <c r="L66" s="90"/>
      <c r="AE66" s="98"/>
    </row>
    <row r="67" spans="2:31" x14ac:dyDescent="0.25">
      <c r="C67" s="156" t="s">
        <v>12</v>
      </c>
      <c r="D67" s="157" t="s">
        <v>0</v>
      </c>
      <c r="E67" s="158">
        <f>SUM(E24:AD24)+SUM(E36:AD36)+SUM(E28:AD28)</f>
        <v>-3546386.4819535594</v>
      </c>
      <c r="F67" s="247">
        <f>E67/'Key_Assumptions_&amp;_Inputs'!$E$18/1000</f>
        <v>-2.51516771769756</v>
      </c>
      <c r="G67" s="99"/>
      <c r="H67" s="15"/>
      <c r="I67" s="111"/>
      <c r="J67" s="112"/>
      <c r="K67" s="65"/>
      <c r="L67" s="113"/>
      <c r="M67" s="64"/>
      <c r="AE67" s="105"/>
    </row>
    <row r="68" spans="2:31" x14ac:dyDescent="0.25">
      <c r="C68" s="156" t="s">
        <v>35</v>
      </c>
      <c r="D68" s="157" t="s">
        <v>0</v>
      </c>
      <c r="E68" s="158">
        <f>SUM(E44:AD44)+SUM(E57:AD57)+SUM(E51:AD51)+SUM(E27:AD27)</f>
        <v>4712589.0781693552</v>
      </c>
      <c r="F68" s="247">
        <f>E68/'Key_Assumptions_&amp;_Inputs'!$E$18/1000</f>
        <v>3.3422617575669187</v>
      </c>
      <c r="G68" s="99"/>
      <c r="H68" s="114"/>
      <c r="I68" s="98"/>
      <c r="J68" s="98"/>
      <c r="K68" s="98"/>
      <c r="L68" s="115"/>
      <c r="AE68" s="105"/>
    </row>
    <row r="69" spans="2:31" x14ac:dyDescent="0.25">
      <c r="C69" s="156" t="s">
        <v>14</v>
      </c>
      <c r="D69" s="157" t="s">
        <v>0</v>
      </c>
      <c r="E69" s="158">
        <f>E68+E67</f>
        <v>1166202.5962157957</v>
      </c>
      <c r="F69" s="247">
        <f>E69/'Key_Assumptions_&amp;_Inputs'!$E$18/1000</f>
        <v>0.8270940398693587</v>
      </c>
      <c r="H69" s="85"/>
      <c r="I69" s="116"/>
      <c r="J69" s="85"/>
      <c r="K69" s="85"/>
      <c r="L69" s="115"/>
      <c r="AE69" s="105"/>
    </row>
    <row r="70" spans="2:31" x14ac:dyDescent="0.25">
      <c r="C70" s="156" t="s">
        <v>15</v>
      </c>
      <c r="D70" s="157" t="s">
        <v>0</v>
      </c>
      <c r="E70" s="158">
        <f>E59+NPV('Key_Assumptions_&amp;_Inputs'!E66,F59:AD59)</f>
        <v>404122.22435043496</v>
      </c>
      <c r="F70" s="247">
        <f>E70/'Key_Assumptions_&amp;_Inputs'!$E$18/1000</f>
        <v>0.28661150663151413</v>
      </c>
      <c r="H70" s="85"/>
      <c r="I70" s="90"/>
      <c r="J70" s="85"/>
      <c r="K70" s="85"/>
      <c r="L70" s="115"/>
      <c r="AE70" s="105"/>
    </row>
    <row r="71" spans="2:31" x14ac:dyDescent="0.25">
      <c r="C71" s="156" t="s">
        <v>23</v>
      </c>
      <c r="D71" s="157" t="s">
        <v>5</v>
      </c>
      <c r="E71" s="159">
        <f>IRR(E59:AD59)</f>
        <v>0.16138979701593636</v>
      </c>
      <c r="F71" s="248" t="s">
        <v>181</v>
      </c>
      <c r="H71" s="84"/>
      <c r="AE71" s="117"/>
    </row>
    <row r="72" spans="2:31" x14ac:dyDescent="0.25">
      <c r="C72" s="156" t="s">
        <v>83</v>
      </c>
      <c r="D72" s="157" t="s">
        <v>5</v>
      </c>
      <c r="E72" s="160">
        <f>MIRR(E59:AD59,0,'Key_Assumptions_&amp;_Inputs'!E66)</f>
        <v>9.0695912764743536E-2</v>
      </c>
      <c r="F72" s="248" t="s">
        <v>181</v>
      </c>
      <c r="AE72" s="117"/>
    </row>
    <row r="73" spans="2:31" x14ac:dyDescent="0.25">
      <c r="C73" s="156" t="s">
        <v>22</v>
      </c>
      <c r="D73" s="157" t="s">
        <v>5</v>
      </c>
      <c r="E73" s="160">
        <f>E69/(-E67)</f>
        <v>0.32884249986577391</v>
      </c>
      <c r="F73" s="248" t="s">
        <v>181</v>
      </c>
      <c r="AE73" s="117"/>
    </row>
    <row r="74" spans="2:31" x14ac:dyDescent="0.25">
      <c r="C74" s="156" t="s">
        <v>18</v>
      </c>
      <c r="D74" s="157" t="s">
        <v>4</v>
      </c>
      <c r="E74" s="161">
        <f>E61</f>
        <v>3.3432934974631787</v>
      </c>
      <c r="F74" s="248" t="s">
        <v>181</v>
      </c>
      <c r="AE74" s="118"/>
    </row>
    <row r="75" spans="2:31" ht="15.75" thickBot="1" x14ac:dyDescent="0.3">
      <c r="F75" s="84"/>
      <c r="G75" s="84"/>
      <c r="H75" s="84"/>
      <c r="I75" s="84"/>
      <c r="J75" s="84"/>
      <c r="K75" s="84"/>
      <c r="L75" s="84"/>
    </row>
    <row r="76" spans="2:31" ht="15.75" thickBot="1" x14ac:dyDescent="0.3">
      <c r="F76" s="84"/>
      <c r="G76" s="84"/>
      <c r="H76" s="84"/>
      <c r="I76" s="84"/>
      <c r="J76" s="84"/>
      <c r="K76" s="84"/>
      <c r="L76" s="84"/>
    </row>
    <row r="77" spans="2:31" ht="15.75" thickBot="1" x14ac:dyDescent="0.3">
      <c r="B77" s="785" t="s">
        <v>315</v>
      </c>
      <c r="C77" s="786"/>
      <c r="D77" s="787"/>
    </row>
    <row r="78" spans="2:31" x14ac:dyDescent="0.25">
      <c r="B78" s="130"/>
      <c r="C78" s="131"/>
      <c r="D78" s="155" t="s">
        <v>24</v>
      </c>
      <c r="E78" s="153">
        <v>0</v>
      </c>
      <c r="F78" s="127">
        <v>1</v>
      </c>
      <c r="G78" s="127">
        <v>2</v>
      </c>
      <c r="H78" s="127">
        <v>3</v>
      </c>
      <c r="I78" s="127">
        <v>4</v>
      </c>
      <c r="J78" s="127">
        <v>5</v>
      </c>
      <c r="K78" s="127">
        <v>6</v>
      </c>
      <c r="L78" s="127">
        <v>7</v>
      </c>
      <c r="M78" s="127">
        <v>8</v>
      </c>
      <c r="N78" s="127">
        <v>9</v>
      </c>
      <c r="O78" s="127">
        <v>10</v>
      </c>
      <c r="P78" s="127">
        <v>11</v>
      </c>
      <c r="Q78" s="127">
        <v>12</v>
      </c>
      <c r="R78" s="127">
        <v>13</v>
      </c>
      <c r="S78" s="127">
        <v>14</v>
      </c>
      <c r="T78" s="127">
        <v>15</v>
      </c>
      <c r="U78" s="127">
        <v>16</v>
      </c>
      <c r="V78" s="127">
        <v>17</v>
      </c>
      <c r="W78" s="127">
        <v>18</v>
      </c>
      <c r="X78" s="127">
        <v>19</v>
      </c>
      <c r="Y78" s="127">
        <v>20</v>
      </c>
      <c r="Z78" s="127">
        <v>21</v>
      </c>
      <c r="AA78" s="127">
        <v>22</v>
      </c>
      <c r="AB78" s="127">
        <v>23</v>
      </c>
      <c r="AC78" s="127">
        <v>24</v>
      </c>
      <c r="AD78" s="127">
        <v>25</v>
      </c>
      <c r="AE78" s="154" t="s">
        <v>17</v>
      </c>
    </row>
    <row r="79" spans="2:31" x14ac:dyDescent="0.25">
      <c r="B79" s="132"/>
      <c r="C79" s="133"/>
      <c r="D79" s="152" t="s">
        <v>25</v>
      </c>
      <c r="E79" s="124"/>
      <c r="F79" s="124">
        <v>2018</v>
      </c>
      <c r="G79" s="125">
        <f t="shared" ref="G79:AD79" si="13">F79+1</f>
        <v>2019</v>
      </c>
      <c r="H79" s="125">
        <f t="shared" si="13"/>
        <v>2020</v>
      </c>
      <c r="I79" s="124">
        <f t="shared" si="13"/>
        <v>2021</v>
      </c>
      <c r="J79" s="124">
        <f t="shared" si="13"/>
        <v>2022</v>
      </c>
      <c r="K79" s="124">
        <f t="shared" si="13"/>
        <v>2023</v>
      </c>
      <c r="L79" s="124">
        <f t="shared" si="13"/>
        <v>2024</v>
      </c>
      <c r="M79" s="124">
        <f t="shared" si="13"/>
        <v>2025</v>
      </c>
      <c r="N79" s="124">
        <f t="shared" si="13"/>
        <v>2026</v>
      </c>
      <c r="O79" s="124">
        <f t="shared" si="13"/>
        <v>2027</v>
      </c>
      <c r="P79" s="124">
        <f t="shared" si="13"/>
        <v>2028</v>
      </c>
      <c r="Q79" s="124">
        <f t="shared" si="13"/>
        <v>2029</v>
      </c>
      <c r="R79" s="124">
        <f t="shared" si="13"/>
        <v>2030</v>
      </c>
      <c r="S79" s="124">
        <f t="shared" si="13"/>
        <v>2031</v>
      </c>
      <c r="T79" s="124">
        <f t="shared" si="13"/>
        <v>2032</v>
      </c>
      <c r="U79" s="124">
        <f t="shared" si="13"/>
        <v>2033</v>
      </c>
      <c r="V79" s="124">
        <f t="shared" si="13"/>
        <v>2034</v>
      </c>
      <c r="W79" s="124">
        <f t="shared" si="13"/>
        <v>2035</v>
      </c>
      <c r="X79" s="124">
        <f t="shared" si="13"/>
        <v>2036</v>
      </c>
      <c r="Y79" s="124">
        <f t="shared" si="13"/>
        <v>2037</v>
      </c>
      <c r="Z79" s="124">
        <f t="shared" si="13"/>
        <v>2038</v>
      </c>
      <c r="AA79" s="124">
        <f t="shared" si="13"/>
        <v>2039</v>
      </c>
      <c r="AB79" s="124">
        <f t="shared" si="13"/>
        <v>2040</v>
      </c>
      <c r="AC79" s="124">
        <f t="shared" si="13"/>
        <v>2041</v>
      </c>
      <c r="AD79" s="126">
        <f t="shared" si="13"/>
        <v>2042</v>
      </c>
      <c r="AE79" s="166"/>
    </row>
    <row r="80" spans="2:31" x14ac:dyDescent="0.25">
      <c r="B80" s="134" t="s">
        <v>344</v>
      </c>
      <c r="C80" s="133"/>
      <c r="D80" s="87"/>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7"/>
      <c r="AE80" s="165"/>
    </row>
    <row r="81" spans="2:33" x14ac:dyDescent="0.25">
      <c r="B81" s="163" t="s">
        <v>31</v>
      </c>
      <c r="C81" s="139"/>
      <c r="D81" s="93" t="s">
        <v>0</v>
      </c>
      <c r="E81" s="219">
        <f>IF(E78=0,0,-IF('Key_Assumptions_&amp;_Inputs'!$E$11="Panel Leasing",'Key_Assumptions_&amp;_Inputs'!$E$13*12*('Key_Assumptions_&amp;_Inputs'!$E$35*'Key_Assumptions_&amp;_Inputs'!$E$59)*(1+'Key_Assumptions_&amp;_Inputs'!$E$61)^(E78-1),0))-IF(AND('Key_Assumptions_&amp;_Inputs'!$E$11="Panel Purchasing",Community_Solar_Business_Case!E78=1),'Key_Assumptions_&amp;_Inputs'!$E$13*('Key_Assumptions_&amp;_Inputs'!$E$35*'Key_Assumptions_&amp;_Inputs'!$E$59),0)</f>
        <v>0</v>
      </c>
      <c r="F81" s="219">
        <f>IF(F78=0,0,-IF('Key_Assumptions_&amp;_Inputs'!$E$11="Panel Leasing",'Key_Assumptions_&amp;_Inputs'!$E$13*12*('Key_Assumptions_&amp;_Inputs'!$E$35*'Key_Assumptions_&amp;_Inputs'!$E$59)*(1+'Key_Assumptions_&amp;_Inputs'!$E$61)^(F78-1),0))-IF(AND('Key_Assumptions_&amp;_Inputs'!$E$11="Panel Purchasing",Community_Solar_Business_Case!F78=1),'Key_Assumptions_&amp;_Inputs'!$E$13*('Key_Assumptions_&amp;_Inputs'!$E$35*'Key_Assumptions_&amp;_Inputs'!$E$59),0)</f>
        <v>-21395.612903225803</v>
      </c>
      <c r="G81" s="219">
        <f>IF(G78=0,0,-IF('Key_Assumptions_&amp;_Inputs'!$E$11="Panel Leasing",'Key_Assumptions_&amp;_Inputs'!$E$13*12*('Key_Assumptions_&amp;_Inputs'!$E$35*'Key_Assumptions_&amp;_Inputs'!$E$59)*(1+'Key_Assumptions_&amp;_Inputs'!$E$61)^(G78-1),0))-IF(AND('Key_Assumptions_&amp;_Inputs'!$E$11="Panel Purchasing",Community_Solar_Business_Case!G78=1),'Key_Assumptions_&amp;_Inputs'!$E$13*('Key_Assumptions_&amp;_Inputs'!$E$35*'Key_Assumptions_&amp;_Inputs'!$E$59),0)</f>
        <v>-21395.612903225803</v>
      </c>
      <c r="H81" s="219">
        <f>IF(H78=0,0,-IF('Key_Assumptions_&amp;_Inputs'!$E$11="Panel Leasing",'Key_Assumptions_&amp;_Inputs'!$E$13*12*('Key_Assumptions_&amp;_Inputs'!$E$35*'Key_Assumptions_&amp;_Inputs'!$E$59)*(1+'Key_Assumptions_&amp;_Inputs'!$E$61)^(H78-1),0))-IF(AND('Key_Assumptions_&amp;_Inputs'!$E$11="Panel Purchasing",Community_Solar_Business_Case!H78=1),'Key_Assumptions_&amp;_Inputs'!$E$13*('Key_Assumptions_&amp;_Inputs'!$E$35*'Key_Assumptions_&amp;_Inputs'!$E$59),0)</f>
        <v>-21395.612903225803</v>
      </c>
      <c r="I81" s="219">
        <f>IF(I78=0,0,-IF('Key_Assumptions_&amp;_Inputs'!$E$11="Panel Leasing",'Key_Assumptions_&amp;_Inputs'!$E$13*12*('Key_Assumptions_&amp;_Inputs'!$E$35*'Key_Assumptions_&amp;_Inputs'!$E$59)*(1+'Key_Assumptions_&amp;_Inputs'!$E$61)^(I78-1),0))-IF(AND('Key_Assumptions_&amp;_Inputs'!$E$11="Panel Purchasing",Community_Solar_Business_Case!I78=1),'Key_Assumptions_&amp;_Inputs'!$E$13*('Key_Assumptions_&amp;_Inputs'!$E$35*'Key_Assumptions_&amp;_Inputs'!$E$59),0)</f>
        <v>-21395.612903225803</v>
      </c>
      <c r="J81" s="219">
        <f>IF(J78=0,0,-IF('Key_Assumptions_&amp;_Inputs'!$E$11="Panel Leasing",'Key_Assumptions_&amp;_Inputs'!$E$13*12*('Key_Assumptions_&amp;_Inputs'!$E$35*'Key_Assumptions_&amp;_Inputs'!$E$59)*(1+'Key_Assumptions_&amp;_Inputs'!$E$61)^(J78-1),0))-IF(AND('Key_Assumptions_&amp;_Inputs'!$E$11="Panel Purchasing",Community_Solar_Business_Case!J78=1),'Key_Assumptions_&amp;_Inputs'!$E$13*('Key_Assumptions_&amp;_Inputs'!$E$35*'Key_Assumptions_&amp;_Inputs'!$E$59),0)</f>
        <v>-21395.612903225803</v>
      </c>
      <c r="K81" s="219">
        <f>IF(K78=0,0,-IF('Key_Assumptions_&amp;_Inputs'!$E$11="Panel Leasing",'Key_Assumptions_&amp;_Inputs'!$E$13*12*('Key_Assumptions_&amp;_Inputs'!$E$35*'Key_Assumptions_&amp;_Inputs'!$E$59)*(1+'Key_Assumptions_&amp;_Inputs'!$E$61)^(K78-1),0))-IF(AND('Key_Assumptions_&amp;_Inputs'!$E$11="Panel Purchasing",Community_Solar_Business_Case!K78=1),'Key_Assumptions_&amp;_Inputs'!$E$13*('Key_Assumptions_&amp;_Inputs'!$E$35*'Key_Assumptions_&amp;_Inputs'!$E$59),0)</f>
        <v>-21395.612903225803</v>
      </c>
      <c r="L81" s="219">
        <f>IF(L78=0,0,-IF('Key_Assumptions_&amp;_Inputs'!$E$11="Panel Leasing",'Key_Assumptions_&amp;_Inputs'!$E$13*12*('Key_Assumptions_&amp;_Inputs'!$E$35*'Key_Assumptions_&amp;_Inputs'!$E$59)*(1+'Key_Assumptions_&amp;_Inputs'!$E$61)^(L78-1),0))-IF(AND('Key_Assumptions_&amp;_Inputs'!$E$11="Panel Purchasing",Community_Solar_Business_Case!L78=1),'Key_Assumptions_&amp;_Inputs'!$E$13*('Key_Assumptions_&amp;_Inputs'!$E$35*'Key_Assumptions_&amp;_Inputs'!$E$59),0)</f>
        <v>-21395.612903225803</v>
      </c>
      <c r="M81" s="219">
        <f>IF(M78=0,0,-IF('Key_Assumptions_&amp;_Inputs'!$E$11="Panel Leasing",'Key_Assumptions_&amp;_Inputs'!$E$13*12*('Key_Assumptions_&amp;_Inputs'!$E$35*'Key_Assumptions_&amp;_Inputs'!$E$59)*(1+'Key_Assumptions_&amp;_Inputs'!$E$61)^(M78-1),0))-IF(AND('Key_Assumptions_&amp;_Inputs'!$E$11="Panel Purchasing",Community_Solar_Business_Case!M78=1),'Key_Assumptions_&amp;_Inputs'!$E$13*('Key_Assumptions_&amp;_Inputs'!$E$35*'Key_Assumptions_&amp;_Inputs'!$E$59),0)</f>
        <v>-21395.612903225803</v>
      </c>
      <c r="N81" s="219">
        <f>IF(N78=0,0,-IF('Key_Assumptions_&amp;_Inputs'!$E$11="Panel Leasing",'Key_Assumptions_&amp;_Inputs'!$E$13*12*('Key_Assumptions_&amp;_Inputs'!$E$35*'Key_Assumptions_&amp;_Inputs'!$E$59)*(1+'Key_Assumptions_&amp;_Inputs'!$E$61)^(N78-1),0))-IF(AND('Key_Assumptions_&amp;_Inputs'!$E$11="Panel Purchasing",Community_Solar_Business_Case!N78=1),'Key_Assumptions_&amp;_Inputs'!$E$13*('Key_Assumptions_&amp;_Inputs'!$E$35*'Key_Assumptions_&amp;_Inputs'!$E$59),0)</f>
        <v>-21395.612903225803</v>
      </c>
      <c r="O81" s="219">
        <f>IF(O78=0,0,-IF('Key_Assumptions_&amp;_Inputs'!$E$11="Panel Leasing",'Key_Assumptions_&amp;_Inputs'!$E$13*12*('Key_Assumptions_&amp;_Inputs'!$E$35*'Key_Assumptions_&amp;_Inputs'!$E$59)*(1+'Key_Assumptions_&amp;_Inputs'!$E$61)^(O78-1),0))-IF(AND('Key_Assumptions_&amp;_Inputs'!$E$11="Panel Purchasing",Community_Solar_Business_Case!O78=1),'Key_Assumptions_&amp;_Inputs'!$E$13*('Key_Assumptions_&amp;_Inputs'!$E$35*'Key_Assumptions_&amp;_Inputs'!$E$59),0)</f>
        <v>-21395.612903225803</v>
      </c>
      <c r="P81" s="219">
        <f>IF(P78=0,0,-IF('Key_Assumptions_&amp;_Inputs'!$E$11="Panel Leasing",'Key_Assumptions_&amp;_Inputs'!$E$13*12*('Key_Assumptions_&amp;_Inputs'!$E$35*'Key_Assumptions_&amp;_Inputs'!$E$59)*(1+'Key_Assumptions_&amp;_Inputs'!$E$61)^(P78-1),0))-IF(AND('Key_Assumptions_&amp;_Inputs'!$E$11="Panel Purchasing",Community_Solar_Business_Case!P78=1),'Key_Assumptions_&amp;_Inputs'!$E$13*('Key_Assumptions_&amp;_Inputs'!$E$35*'Key_Assumptions_&amp;_Inputs'!$E$59),0)</f>
        <v>-21395.612903225803</v>
      </c>
      <c r="Q81" s="219">
        <f>IF(Q78=0,0,-IF('Key_Assumptions_&amp;_Inputs'!$E$11="Panel Leasing",'Key_Assumptions_&amp;_Inputs'!$E$13*12*('Key_Assumptions_&amp;_Inputs'!$E$35*'Key_Assumptions_&amp;_Inputs'!$E$59)*(1+'Key_Assumptions_&amp;_Inputs'!$E$61)^(Q78-1),0))-IF(AND('Key_Assumptions_&amp;_Inputs'!$E$11="Panel Purchasing",Community_Solar_Business_Case!Q78=1),'Key_Assumptions_&amp;_Inputs'!$E$13*('Key_Assumptions_&amp;_Inputs'!$E$35*'Key_Assumptions_&amp;_Inputs'!$E$59),0)</f>
        <v>-21395.612903225803</v>
      </c>
      <c r="R81" s="219">
        <f>IF(R78=0,0,-IF('Key_Assumptions_&amp;_Inputs'!$E$11="Panel Leasing",'Key_Assumptions_&amp;_Inputs'!$E$13*12*('Key_Assumptions_&amp;_Inputs'!$E$35*'Key_Assumptions_&amp;_Inputs'!$E$59)*(1+'Key_Assumptions_&amp;_Inputs'!$E$61)^(R78-1),0))-IF(AND('Key_Assumptions_&amp;_Inputs'!$E$11="Panel Purchasing",Community_Solar_Business_Case!R78=1),'Key_Assumptions_&amp;_Inputs'!$E$13*('Key_Assumptions_&amp;_Inputs'!$E$35*'Key_Assumptions_&amp;_Inputs'!$E$59),0)</f>
        <v>-21395.612903225803</v>
      </c>
      <c r="S81" s="219">
        <f>IF(S78=0,0,-IF('Key_Assumptions_&amp;_Inputs'!$E$11="Panel Leasing",'Key_Assumptions_&amp;_Inputs'!$E$13*12*('Key_Assumptions_&amp;_Inputs'!$E$35*'Key_Assumptions_&amp;_Inputs'!$E$59)*(1+'Key_Assumptions_&amp;_Inputs'!$E$61)^(S78-1),0))-IF(AND('Key_Assumptions_&amp;_Inputs'!$E$11="Panel Purchasing",Community_Solar_Business_Case!S78=1),'Key_Assumptions_&amp;_Inputs'!$E$13*('Key_Assumptions_&amp;_Inputs'!$E$35*'Key_Assumptions_&amp;_Inputs'!$E$59),0)</f>
        <v>-21395.612903225803</v>
      </c>
      <c r="T81" s="219">
        <f>IF(T78=0,0,-IF('Key_Assumptions_&amp;_Inputs'!$E$11="Panel Leasing",'Key_Assumptions_&amp;_Inputs'!$E$13*12*('Key_Assumptions_&amp;_Inputs'!$E$35*'Key_Assumptions_&amp;_Inputs'!$E$59)*(1+'Key_Assumptions_&amp;_Inputs'!$E$61)^(T78-1),0))-IF(AND('Key_Assumptions_&amp;_Inputs'!$E$11="Panel Purchasing",Community_Solar_Business_Case!T78=1),'Key_Assumptions_&amp;_Inputs'!$E$13*('Key_Assumptions_&amp;_Inputs'!$E$35*'Key_Assumptions_&amp;_Inputs'!$E$59),0)</f>
        <v>-21395.612903225803</v>
      </c>
      <c r="U81" s="219">
        <f>IF(U78=0,0,-IF('Key_Assumptions_&amp;_Inputs'!$E$11="Panel Leasing",'Key_Assumptions_&amp;_Inputs'!$E$13*12*('Key_Assumptions_&amp;_Inputs'!$E$35*'Key_Assumptions_&amp;_Inputs'!$E$59)*(1+'Key_Assumptions_&amp;_Inputs'!$E$61)^(U78-1),0))-IF(AND('Key_Assumptions_&amp;_Inputs'!$E$11="Panel Purchasing",Community_Solar_Business_Case!U78=1),'Key_Assumptions_&amp;_Inputs'!$E$13*('Key_Assumptions_&amp;_Inputs'!$E$35*'Key_Assumptions_&amp;_Inputs'!$E$59),0)</f>
        <v>-21395.612903225803</v>
      </c>
      <c r="V81" s="219">
        <f>IF(V78=0,0,-IF('Key_Assumptions_&amp;_Inputs'!$E$11="Panel Leasing",'Key_Assumptions_&amp;_Inputs'!$E$13*12*('Key_Assumptions_&amp;_Inputs'!$E$35*'Key_Assumptions_&amp;_Inputs'!$E$59)*(1+'Key_Assumptions_&amp;_Inputs'!$E$61)^(V78-1),0))-IF(AND('Key_Assumptions_&amp;_Inputs'!$E$11="Panel Purchasing",Community_Solar_Business_Case!V78=1),'Key_Assumptions_&amp;_Inputs'!$E$13*('Key_Assumptions_&amp;_Inputs'!$E$35*'Key_Assumptions_&amp;_Inputs'!$E$59),0)</f>
        <v>-21395.612903225803</v>
      </c>
      <c r="W81" s="219">
        <f>IF(W78=0,0,-IF('Key_Assumptions_&amp;_Inputs'!$E$11="Panel Leasing",'Key_Assumptions_&amp;_Inputs'!$E$13*12*('Key_Assumptions_&amp;_Inputs'!$E$35*'Key_Assumptions_&amp;_Inputs'!$E$59)*(1+'Key_Assumptions_&amp;_Inputs'!$E$61)^(W78-1),0))-IF(AND('Key_Assumptions_&amp;_Inputs'!$E$11="Panel Purchasing",Community_Solar_Business_Case!W78=1),'Key_Assumptions_&amp;_Inputs'!$E$13*('Key_Assumptions_&amp;_Inputs'!$E$35*'Key_Assumptions_&amp;_Inputs'!$E$59),0)</f>
        <v>-21395.612903225803</v>
      </c>
      <c r="X81" s="219">
        <f>IF(X78=0,0,-IF('Key_Assumptions_&amp;_Inputs'!$E$11="Panel Leasing",'Key_Assumptions_&amp;_Inputs'!$E$13*12*('Key_Assumptions_&amp;_Inputs'!$E$35*'Key_Assumptions_&amp;_Inputs'!$E$59)*(1+'Key_Assumptions_&amp;_Inputs'!$E$61)^(X78-1),0))-IF(AND('Key_Assumptions_&amp;_Inputs'!$E$11="Panel Purchasing",Community_Solar_Business_Case!X78=1),'Key_Assumptions_&amp;_Inputs'!$E$13*('Key_Assumptions_&amp;_Inputs'!$E$35*'Key_Assumptions_&amp;_Inputs'!$E$59),0)</f>
        <v>-21395.612903225803</v>
      </c>
      <c r="Y81" s="219">
        <f>IF(Y78=0,0,-IF('Key_Assumptions_&amp;_Inputs'!$E$11="Panel Leasing",'Key_Assumptions_&amp;_Inputs'!$E$13*12*('Key_Assumptions_&amp;_Inputs'!$E$35*'Key_Assumptions_&amp;_Inputs'!$E$59)*(1+'Key_Assumptions_&amp;_Inputs'!$E$61)^(Y78-1),0))-IF(AND('Key_Assumptions_&amp;_Inputs'!$E$11="Panel Purchasing",Community_Solar_Business_Case!Y78=1),'Key_Assumptions_&amp;_Inputs'!$E$13*('Key_Assumptions_&amp;_Inputs'!$E$35*'Key_Assumptions_&amp;_Inputs'!$E$59),0)</f>
        <v>-21395.612903225803</v>
      </c>
      <c r="Z81" s="219">
        <f>IF(Z78=0,0,-IF('Key_Assumptions_&amp;_Inputs'!$E$11="Panel Leasing",'Key_Assumptions_&amp;_Inputs'!$E$13*12*('Key_Assumptions_&amp;_Inputs'!$E$35*'Key_Assumptions_&amp;_Inputs'!$E$59)*(1+'Key_Assumptions_&amp;_Inputs'!$E$61)^(Z78-1),0))-IF(AND('Key_Assumptions_&amp;_Inputs'!$E$11="Panel Purchasing",Community_Solar_Business_Case!Z78=1),'Key_Assumptions_&amp;_Inputs'!$E$13*('Key_Assumptions_&amp;_Inputs'!$E$35*'Key_Assumptions_&amp;_Inputs'!$E$59),0)</f>
        <v>-21395.612903225803</v>
      </c>
      <c r="AA81" s="219">
        <f>IF(AA78=0,0,-IF('Key_Assumptions_&amp;_Inputs'!$E$11="Panel Leasing",'Key_Assumptions_&amp;_Inputs'!$E$13*12*('Key_Assumptions_&amp;_Inputs'!$E$35*'Key_Assumptions_&amp;_Inputs'!$E$59)*(1+'Key_Assumptions_&amp;_Inputs'!$E$61)^(AA78-1),0))-IF(AND('Key_Assumptions_&amp;_Inputs'!$E$11="Panel Purchasing",Community_Solar_Business_Case!AA78=1),'Key_Assumptions_&amp;_Inputs'!$E$13*('Key_Assumptions_&amp;_Inputs'!$E$35*'Key_Assumptions_&amp;_Inputs'!$E$59),0)</f>
        <v>-21395.612903225803</v>
      </c>
      <c r="AB81" s="219">
        <f>IF(AB78=0,0,-IF('Key_Assumptions_&amp;_Inputs'!$E$11="Panel Leasing",'Key_Assumptions_&amp;_Inputs'!$E$13*12*('Key_Assumptions_&amp;_Inputs'!$E$35*'Key_Assumptions_&amp;_Inputs'!$E$59)*(1+'Key_Assumptions_&amp;_Inputs'!$E$61)^(AB78-1),0))-IF(AND('Key_Assumptions_&amp;_Inputs'!$E$11="Panel Purchasing",Community_Solar_Business_Case!AB78=1),'Key_Assumptions_&amp;_Inputs'!$E$13*('Key_Assumptions_&amp;_Inputs'!$E$35*'Key_Assumptions_&amp;_Inputs'!$E$59),0)</f>
        <v>-21395.612903225803</v>
      </c>
      <c r="AC81" s="219">
        <f>IF(AC78=0,0,-IF('Key_Assumptions_&amp;_Inputs'!$E$11="Panel Leasing",'Key_Assumptions_&amp;_Inputs'!$E$13*12*('Key_Assumptions_&amp;_Inputs'!$E$35*'Key_Assumptions_&amp;_Inputs'!$E$59)*(1+'Key_Assumptions_&amp;_Inputs'!$E$61)^(AC78-1),0))-IF(AND('Key_Assumptions_&amp;_Inputs'!$E$11="Panel Purchasing",Community_Solar_Business_Case!AC78=1),'Key_Assumptions_&amp;_Inputs'!$E$13*('Key_Assumptions_&amp;_Inputs'!$E$35*'Key_Assumptions_&amp;_Inputs'!$E$59),0)</f>
        <v>-21395.612903225803</v>
      </c>
      <c r="AD81" s="219">
        <f>IF(AD78=0,0,-IF('Key_Assumptions_&amp;_Inputs'!$E$11="Panel Leasing",'Key_Assumptions_&amp;_Inputs'!$E$13*12*('Key_Assumptions_&amp;_Inputs'!$E$35*'Key_Assumptions_&amp;_Inputs'!$E$59)*(1+'Key_Assumptions_&amp;_Inputs'!$E$61)^(AD78-1),0))-IF(AND('Key_Assumptions_&amp;_Inputs'!$E$11="Panel Purchasing",Community_Solar_Business_Case!AD78=1),'Key_Assumptions_&amp;_Inputs'!$E$13*('Key_Assumptions_&amp;_Inputs'!$E$35*'Key_Assumptions_&amp;_Inputs'!$E$59),0)</f>
        <v>-21395.612903225803</v>
      </c>
      <c r="AE81" s="220">
        <f>SUM(E81:AD81)</f>
        <v>-534890.32258064533</v>
      </c>
    </row>
    <row r="82" spans="2:33" x14ac:dyDescent="0.25">
      <c r="B82" s="132" t="s">
        <v>33</v>
      </c>
      <c r="C82" s="133"/>
      <c r="D82" s="89" t="s">
        <v>0</v>
      </c>
      <c r="E82" s="173">
        <f>SUM(E81:E81)</f>
        <v>0</v>
      </c>
      <c r="F82" s="173">
        <f t="shared" ref="F82:AD82" si="14">SUM(F81:F81)</f>
        <v>-21395.612903225803</v>
      </c>
      <c r="G82" s="173">
        <f t="shared" si="14"/>
        <v>-21395.612903225803</v>
      </c>
      <c r="H82" s="173">
        <f t="shared" si="14"/>
        <v>-21395.612903225803</v>
      </c>
      <c r="I82" s="173">
        <f t="shared" si="14"/>
        <v>-21395.612903225803</v>
      </c>
      <c r="J82" s="173">
        <f t="shared" si="14"/>
        <v>-21395.612903225803</v>
      </c>
      <c r="K82" s="173">
        <f t="shared" si="14"/>
        <v>-21395.612903225803</v>
      </c>
      <c r="L82" s="173">
        <f t="shared" si="14"/>
        <v>-21395.612903225803</v>
      </c>
      <c r="M82" s="173">
        <f t="shared" si="14"/>
        <v>-21395.612903225803</v>
      </c>
      <c r="N82" s="173">
        <f t="shared" si="14"/>
        <v>-21395.612903225803</v>
      </c>
      <c r="O82" s="173">
        <f t="shared" si="14"/>
        <v>-21395.612903225803</v>
      </c>
      <c r="P82" s="173">
        <f t="shared" si="14"/>
        <v>-21395.612903225803</v>
      </c>
      <c r="Q82" s="173">
        <f t="shared" si="14"/>
        <v>-21395.612903225803</v>
      </c>
      <c r="R82" s="173">
        <f t="shared" si="14"/>
        <v>-21395.612903225803</v>
      </c>
      <c r="S82" s="173">
        <f t="shared" si="14"/>
        <v>-21395.612903225803</v>
      </c>
      <c r="T82" s="173">
        <f t="shared" si="14"/>
        <v>-21395.612903225803</v>
      </c>
      <c r="U82" s="173">
        <f t="shared" si="14"/>
        <v>-21395.612903225803</v>
      </c>
      <c r="V82" s="173">
        <f t="shared" si="14"/>
        <v>-21395.612903225803</v>
      </c>
      <c r="W82" s="173">
        <f t="shared" si="14"/>
        <v>-21395.612903225803</v>
      </c>
      <c r="X82" s="173">
        <f t="shared" si="14"/>
        <v>-21395.612903225803</v>
      </c>
      <c r="Y82" s="173">
        <f t="shared" si="14"/>
        <v>-21395.612903225803</v>
      </c>
      <c r="Z82" s="173">
        <f t="shared" si="14"/>
        <v>-21395.612903225803</v>
      </c>
      <c r="AA82" s="173">
        <f t="shared" si="14"/>
        <v>-21395.612903225803</v>
      </c>
      <c r="AB82" s="173">
        <f t="shared" si="14"/>
        <v>-21395.612903225803</v>
      </c>
      <c r="AC82" s="173">
        <f t="shared" si="14"/>
        <v>-21395.612903225803</v>
      </c>
      <c r="AD82" s="186">
        <f t="shared" si="14"/>
        <v>-21395.612903225803</v>
      </c>
      <c r="AE82" s="221">
        <f t="shared" ref="AE82" si="15">SUM(E82:AD82)</f>
        <v>-534890.32258064533</v>
      </c>
    </row>
    <row r="83" spans="2:33" x14ac:dyDescent="0.25">
      <c r="B83" s="132"/>
      <c r="C83" s="133"/>
      <c r="D83" s="89"/>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86"/>
      <c r="AE83" s="221"/>
    </row>
    <row r="84" spans="2:33" x14ac:dyDescent="0.25">
      <c r="B84" s="134" t="s">
        <v>345</v>
      </c>
      <c r="C84" s="133"/>
      <c r="D84" s="89"/>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86"/>
      <c r="AE84" s="221"/>
    </row>
    <row r="85" spans="2:33" x14ac:dyDescent="0.25">
      <c r="B85" s="137" t="s">
        <v>201</v>
      </c>
      <c r="C85" s="133"/>
      <c r="D85" s="89" t="s">
        <v>0</v>
      </c>
      <c r="E85" s="173">
        <f>IF(AND('Key_Assumptions_&amp;_Inputs'!$E$11="Panel Purchasing",Community_Solar_Business_Case!E78=1),-Community_Solar_Business_Case!$F$118*'Key_Assumptions_&amp;_Inputs'!$E$73,0)</f>
        <v>0</v>
      </c>
      <c r="F85" s="173">
        <f>IF(AND('Key_Assumptions_&amp;_Inputs'!$E$11="Panel Purchasing",Community_Solar_Business_Case!F78=1),-Community_Solar_Business_Case!$F$118*'Key_Assumptions_&amp;_Inputs'!$E$73,0)</f>
        <v>0</v>
      </c>
      <c r="G85" s="173">
        <f>IF(AND('Key_Assumptions_&amp;_Inputs'!$E$11="Panel Purchasing",Community_Solar_Business_Case!G78=1),-Community_Solar_Business_Case!$F$118*'Key_Assumptions_&amp;_Inputs'!$E$73,0)</f>
        <v>0</v>
      </c>
      <c r="H85" s="173">
        <f>IF(AND('Key_Assumptions_&amp;_Inputs'!$E$11="Panel Purchasing",Community_Solar_Business_Case!H78=1),-Community_Solar_Business_Case!$F$118*'Key_Assumptions_&amp;_Inputs'!$E$73,0)</f>
        <v>0</v>
      </c>
      <c r="I85" s="173">
        <f>IF(AND('Key_Assumptions_&amp;_Inputs'!$E$11="Panel Purchasing",Community_Solar_Business_Case!I78=1),-Community_Solar_Business_Case!$F$118*'Key_Assumptions_&amp;_Inputs'!$E$73,0)</f>
        <v>0</v>
      </c>
      <c r="J85" s="173">
        <f>IF(AND('Key_Assumptions_&amp;_Inputs'!$E$11="Panel Purchasing",Community_Solar_Business_Case!J78=1),-Community_Solar_Business_Case!$F$118*'Key_Assumptions_&amp;_Inputs'!$E$73,0)</f>
        <v>0</v>
      </c>
      <c r="K85" s="173">
        <f>IF(AND('Key_Assumptions_&amp;_Inputs'!$E$11="Panel Purchasing",Community_Solar_Business_Case!K78=1),-Community_Solar_Business_Case!$F$118*'Key_Assumptions_&amp;_Inputs'!$E$73,0)</f>
        <v>0</v>
      </c>
      <c r="L85" s="173">
        <f>IF(AND('Key_Assumptions_&amp;_Inputs'!$E$11="Panel Purchasing",Community_Solar_Business_Case!L78=1),-Community_Solar_Business_Case!$F$118*'Key_Assumptions_&amp;_Inputs'!$E$73,0)</f>
        <v>0</v>
      </c>
      <c r="M85" s="173">
        <f>IF(AND('Key_Assumptions_&amp;_Inputs'!$E$11="Panel Purchasing",Community_Solar_Business_Case!M78=1),-Community_Solar_Business_Case!$F$118*'Key_Assumptions_&amp;_Inputs'!$E$73,0)</f>
        <v>0</v>
      </c>
      <c r="N85" s="173">
        <f>IF(AND('Key_Assumptions_&amp;_Inputs'!$E$11="Panel Purchasing",Community_Solar_Business_Case!N78=1),-Community_Solar_Business_Case!$F$118*'Key_Assumptions_&amp;_Inputs'!$E$73,0)</f>
        <v>0</v>
      </c>
      <c r="O85" s="173">
        <f>IF(AND('Key_Assumptions_&amp;_Inputs'!$E$11="Panel Purchasing",Community_Solar_Business_Case!O78=1),-Community_Solar_Business_Case!$F$118*'Key_Assumptions_&amp;_Inputs'!$E$73,0)</f>
        <v>0</v>
      </c>
      <c r="P85" s="173">
        <f>IF(AND('Key_Assumptions_&amp;_Inputs'!$E$11="Panel Purchasing",Community_Solar_Business_Case!P78=1),-Community_Solar_Business_Case!$F$118*'Key_Assumptions_&amp;_Inputs'!$E$73,0)</f>
        <v>0</v>
      </c>
      <c r="Q85" s="173">
        <f>IF(AND('Key_Assumptions_&amp;_Inputs'!$E$11="Panel Purchasing",Community_Solar_Business_Case!Q78=1),-Community_Solar_Business_Case!$F$118*'Key_Assumptions_&amp;_Inputs'!$E$73,0)</f>
        <v>0</v>
      </c>
      <c r="R85" s="173">
        <f>IF(AND('Key_Assumptions_&amp;_Inputs'!$E$11="Panel Purchasing",Community_Solar_Business_Case!R78=1),-Community_Solar_Business_Case!$F$118*'Key_Assumptions_&amp;_Inputs'!$E$73,0)</f>
        <v>0</v>
      </c>
      <c r="S85" s="173">
        <f>IF(AND('Key_Assumptions_&amp;_Inputs'!$E$11="Panel Purchasing",Community_Solar_Business_Case!S78=1),-Community_Solar_Business_Case!$F$118*'Key_Assumptions_&amp;_Inputs'!$E$73,0)</f>
        <v>0</v>
      </c>
      <c r="T85" s="173">
        <f>IF(AND('Key_Assumptions_&amp;_Inputs'!$E$11="Panel Purchasing",Community_Solar_Business_Case!T78=1),-Community_Solar_Business_Case!$F$118*'Key_Assumptions_&amp;_Inputs'!$E$73,0)</f>
        <v>0</v>
      </c>
      <c r="U85" s="173">
        <f>IF(AND('Key_Assumptions_&amp;_Inputs'!$E$11="Panel Purchasing",Community_Solar_Business_Case!U78=1),-Community_Solar_Business_Case!$F$118*'Key_Assumptions_&amp;_Inputs'!$E$73,0)</f>
        <v>0</v>
      </c>
      <c r="V85" s="173">
        <f>IF(AND('Key_Assumptions_&amp;_Inputs'!$E$11="Panel Purchasing",Community_Solar_Business_Case!V78=1),-Community_Solar_Business_Case!$F$118*'Key_Assumptions_&amp;_Inputs'!$E$73,0)</f>
        <v>0</v>
      </c>
      <c r="W85" s="173">
        <f>IF(AND('Key_Assumptions_&amp;_Inputs'!$E$11="Panel Purchasing",Community_Solar_Business_Case!W78=1),-Community_Solar_Business_Case!$F$118*'Key_Assumptions_&amp;_Inputs'!$E$73,0)</f>
        <v>0</v>
      </c>
      <c r="X85" s="173">
        <f>IF(AND('Key_Assumptions_&amp;_Inputs'!$E$11="Panel Purchasing",Community_Solar_Business_Case!X78=1),-Community_Solar_Business_Case!$F$118*'Key_Assumptions_&amp;_Inputs'!$E$73,0)</f>
        <v>0</v>
      </c>
      <c r="Y85" s="173">
        <f>IF(AND('Key_Assumptions_&amp;_Inputs'!$E$11="Panel Purchasing",Community_Solar_Business_Case!Y78=1),-Community_Solar_Business_Case!$F$118*'Key_Assumptions_&amp;_Inputs'!$E$73,0)</f>
        <v>0</v>
      </c>
      <c r="Z85" s="173">
        <f>IF(AND('Key_Assumptions_&amp;_Inputs'!$E$11="Panel Purchasing",Community_Solar_Business_Case!Z78=1),-Community_Solar_Business_Case!$F$118*'Key_Assumptions_&amp;_Inputs'!$E$73,0)</f>
        <v>0</v>
      </c>
      <c r="AA85" s="173">
        <f>IF(AND('Key_Assumptions_&amp;_Inputs'!$E$11="Panel Purchasing",Community_Solar_Business_Case!AA78=1),-Community_Solar_Business_Case!$F$118*'Key_Assumptions_&amp;_Inputs'!$E$73,0)</f>
        <v>0</v>
      </c>
      <c r="AB85" s="173">
        <f>IF(AND('Key_Assumptions_&amp;_Inputs'!$E$11="Panel Purchasing",Community_Solar_Business_Case!AB78=1),-Community_Solar_Business_Case!$F$118*'Key_Assumptions_&amp;_Inputs'!$E$73,0)</f>
        <v>0</v>
      </c>
      <c r="AC85" s="173">
        <f>IF(AND('Key_Assumptions_&amp;_Inputs'!$E$11="Panel Purchasing",Community_Solar_Business_Case!AC78=1),-Community_Solar_Business_Case!$F$118*'Key_Assumptions_&amp;_Inputs'!$E$73,0)</f>
        <v>0</v>
      </c>
      <c r="AD85" s="186">
        <f>IF(AND('Key_Assumptions_&amp;_Inputs'!$E$11="Panel Purchasing",Community_Solar_Business_Case!AD78=1),-Community_Solar_Business_Case!$F$118*'Key_Assumptions_&amp;_Inputs'!$E$73,0)</f>
        <v>0</v>
      </c>
      <c r="AE85" s="221">
        <f t="shared" ref="AE85:AE87" si="16">SUM(E85:AD85)</f>
        <v>0</v>
      </c>
    </row>
    <row r="86" spans="2:33" x14ac:dyDescent="0.25">
      <c r="B86" s="138" t="s">
        <v>204</v>
      </c>
      <c r="C86" s="139"/>
      <c r="D86" s="93" t="s">
        <v>0</v>
      </c>
      <c r="E86" s="222">
        <v>0</v>
      </c>
      <c r="F86" s="222">
        <f>-IF('Key_Assumptions_&amp;_Inputs'!$E$11="Panel Leasing",0,IF(F78=0,0,IF(F78=1,0,IF(F78&lt;=('Key_Assumptions_&amp;_Inputs'!$E$75+1),-PMT('Key_Assumptions_&amp;_Inputs'!$E$74/12,'Key_Assumptions_&amp;_Inputs'!$E$75*12,$F$121),0))*12))</f>
        <v>0</v>
      </c>
      <c r="G86" s="222">
        <f>-IF('Key_Assumptions_&amp;_Inputs'!$E$11="Panel Leasing",0,IF(G78=0,0,IF(G78=1,0,IF(G78&lt;=('Key_Assumptions_&amp;_Inputs'!$E$75+1),-PMT('Key_Assumptions_&amp;_Inputs'!$E$74/12,'Key_Assumptions_&amp;_Inputs'!$E$75*12,$F$121),0))*12))</f>
        <v>0</v>
      </c>
      <c r="H86" s="222">
        <f>-IF('Key_Assumptions_&amp;_Inputs'!$E$11="Panel Leasing",0,IF(H78=0,0,IF(H78=1,0,IF(H78&lt;=('Key_Assumptions_&amp;_Inputs'!$E$75+1),-PMT('Key_Assumptions_&amp;_Inputs'!$E$74/12,'Key_Assumptions_&amp;_Inputs'!$E$75*12,$F$121),0))*12))</f>
        <v>0</v>
      </c>
      <c r="I86" s="222">
        <f>-IF('Key_Assumptions_&amp;_Inputs'!$E$11="Panel Leasing",0,IF(I78=0,0,IF(I78=1,0,IF(I78&lt;=('Key_Assumptions_&amp;_Inputs'!$E$75+1),-PMT('Key_Assumptions_&amp;_Inputs'!$E$74/12,'Key_Assumptions_&amp;_Inputs'!$E$75*12,$F$121),0))*12))</f>
        <v>0</v>
      </c>
      <c r="J86" s="222">
        <f>-IF('Key_Assumptions_&amp;_Inputs'!$E$11="Panel Leasing",0,IF(J78=0,0,IF(J78=1,0,IF(J78&lt;=('Key_Assumptions_&amp;_Inputs'!$E$75+1),-PMT('Key_Assumptions_&amp;_Inputs'!$E$74/12,'Key_Assumptions_&amp;_Inputs'!$E$75*12,$F$121),0))*12))</f>
        <v>0</v>
      </c>
      <c r="K86" s="222">
        <f>-IF('Key_Assumptions_&amp;_Inputs'!$E$11="Panel Leasing",0,IF(K78=0,0,IF(K78=1,0,IF(K78&lt;=('Key_Assumptions_&amp;_Inputs'!$E$75+1),-PMT('Key_Assumptions_&amp;_Inputs'!$E$74/12,'Key_Assumptions_&amp;_Inputs'!$E$75*12,$F$121),0))*12))</f>
        <v>0</v>
      </c>
      <c r="L86" s="222">
        <f>-IF('Key_Assumptions_&amp;_Inputs'!$E$11="Panel Leasing",0,IF(L78=0,0,IF(L78=1,0,IF(L78&lt;=('Key_Assumptions_&amp;_Inputs'!$E$75+1),-PMT('Key_Assumptions_&amp;_Inputs'!$E$74/12,'Key_Assumptions_&amp;_Inputs'!$E$75*12,$F$121),0))*12))</f>
        <v>0</v>
      </c>
      <c r="M86" s="222">
        <f>-IF('Key_Assumptions_&amp;_Inputs'!$E$11="Panel Leasing",0,IF(M78=0,0,IF(M78=1,0,IF(M78&lt;=('Key_Assumptions_&amp;_Inputs'!$E$75+1),-PMT('Key_Assumptions_&amp;_Inputs'!$E$74/12,'Key_Assumptions_&amp;_Inputs'!$E$75*12,$F$121),0))*12))</f>
        <v>0</v>
      </c>
      <c r="N86" s="222">
        <f>-IF('Key_Assumptions_&amp;_Inputs'!$E$11="Panel Leasing",0,IF(N78=0,0,IF(N78=1,0,IF(N78&lt;=('Key_Assumptions_&amp;_Inputs'!$E$75+1),-PMT('Key_Assumptions_&amp;_Inputs'!$E$74/12,'Key_Assumptions_&amp;_Inputs'!$E$75*12,$F$121),0))*12))</f>
        <v>0</v>
      </c>
      <c r="O86" s="222">
        <f>-IF('Key_Assumptions_&amp;_Inputs'!$E$11="Panel Leasing",0,IF(O78=0,0,IF(O78=1,0,IF(O78&lt;=('Key_Assumptions_&amp;_Inputs'!$E$75+1),-PMT('Key_Assumptions_&amp;_Inputs'!$E$74/12,'Key_Assumptions_&amp;_Inputs'!$E$75*12,$F$121),0))*12))</f>
        <v>0</v>
      </c>
      <c r="P86" s="222">
        <f>-IF('Key_Assumptions_&amp;_Inputs'!$E$11="Panel Leasing",0,IF(P78=0,0,IF(P78=1,0,IF(P78&lt;=('Key_Assumptions_&amp;_Inputs'!$E$75+1),-PMT('Key_Assumptions_&amp;_Inputs'!$E$74/12,'Key_Assumptions_&amp;_Inputs'!$E$75*12,$F$121),0))*12))</f>
        <v>0</v>
      </c>
      <c r="Q86" s="222">
        <f>-IF('Key_Assumptions_&amp;_Inputs'!$E$11="Panel Leasing",0,IF(Q78=0,0,IF(Q78=1,0,IF(Q78&lt;=('Key_Assumptions_&amp;_Inputs'!$E$75+1),-PMT('Key_Assumptions_&amp;_Inputs'!$E$74/12,'Key_Assumptions_&amp;_Inputs'!$E$75*12,$F$121),0))*12))</f>
        <v>0</v>
      </c>
      <c r="R86" s="222">
        <f>-IF('Key_Assumptions_&amp;_Inputs'!$E$11="Panel Leasing",0,IF(R78=0,0,IF(R78=1,0,IF(R78&lt;=('Key_Assumptions_&amp;_Inputs'!$E$75+1),-PMT('Key_Assumptions_&amp;_Inputs'!$E$74/12,'Key_Assumptions_&amp;_Inputs'!$E$75*12,$F$121),0))*12))</f>
        <v>0</v>
      </c>
      <c r="S86" s="222">
        <f>-IF('Key_Assumptions_&amp;_Inputs'!$E$11="Panel Leasing",0,IF(S78=0,0,IF(S78=1,0,IF(S78&lt;=('Key_Assumptions_&amp;_Inputs'!$E$75+1),-PMT('Key_Assumptions_&amp;_Inputs'!$E$74/12,'Key_Assumptions_&amp;_Inputs'!$E$75*12,$F$121),0))*12))</f>
        <v>0</v>
      </c>
      <c r="T86" s="222">
        <f>-IF('Key_Assumptions_&amp;_Inputs'!$E$11="Panel Leasing",0,IF(T78=0,0,IF(T78=1,0,IF(T78&lt;=('Key_Assumptions_&amp;_Inputs'!$E$75+1),-PMT('Key_Assumptions_&amp;_Inputs'!$E$74/12,'Key_Assumptions_&amp;_Inputs'!$E$75*12,$F$121),0))*12))</f>
        <v>0</v>
      </c>
      <c r="U86" s="222">
        <f>-IF('Key_Assumptions_&amp;_Inputs'!$E$11="Panel Leasing",0,IF(U78=0,0,IF(U78=1,0,IF(U78&lt;=('Key_Assumptions_&amp;_Inputs'!$E$75+1),-PMT('Key_Assumptions_&amp;_Inputs'!$E$74/12,'Key_Assumptions_&amp;_Inputs'!$E$75*12,$F$121),0))*12))</f>
        <v>0</v>
      </c>
      <c r="V86" s="222">
        <f>-IF('Key_Assumptions_&amp;_Inputs'!$E$11="Panel Leasing",0,IF(V78=0,0,IF(V78=1,0,IF(V78&lt;=('Key_Assumptions_&amp;_Inputs'!$E$75+1),-PMT('Key_Assumptions_&amp;_Inputs'!$E$74/12,'Key_Assumptions_&amp;_Inputs'!$E$75*12,$F$121),0))*12))</f>
        <v>0</v>
      </c>
      <c r="W86" s="222">
        <f>-IF('Key_Assumptions_&amp;_Inputs'!$E$11="Panel Leasing",0,IF(W78=0,0,IF(W78=1,0,IF(W78&lt;=('Key_Assumptions_&amp;_Inputs'!$E$75+1),-PMT('Key_Assumptions_&amp;_Inputs'!$E$74/12,'Key_Assumptions_&amp;_Inputs'!$E$75*12,$F$121),0))*12))</f>
        <v>0</v>
      </c>
      <c r="X86" s="222">
        <f>-IF('Key_Assumptions_&amp;_Inputs'!$E$11="Panel Leasing",0,IF(X78=0,0,IF(X78=1,0,IF(X78&lt;=('Key_Assumptions_&amp;_Inputs'!$E$75+1),-PMT('Key_Assumptions_&amp;_Inputs'!$E$74/12,'Key_Assumptions_&amp;_Inputs'!$E$75*12,$F$121),0))*12))</f>
        <v>0</v>
      </c>
      <c r="Y86" s="222">
        <f>-IF('Key_Assumptions_&amp;_Inputs'!$E$11="Panel Leasing",0,IF(Y78=0,0,IF(Y78=1,0,IF(Y78&lt;=('Key_Assumptions_&amp;_Inputs'!$E$75+1),-PMT('Key_Assumptions_&amp;_Inputs'!$E$74/12,'Key_Assumptions_&amp;_Inputs'!$E$75*12,$F$121),0))*12))</f>
        <v>0</v>
      </c>
      <c r="Z86" s="222">
        <f>-IF('Key_Assumptions_&amp;_Inputs'!$E$11="Panel Leasing",0,IF(Z78=0,0,IF(Z78=1,0,IF(Z78&lt;=('Key_Assumptions_&amp;_Inputs'!$E$75+1),-PMT('Key_Assumptions_&amp;_Inputs'!$E$74/12,'Key_Assumptions_&amp;_Inputs'!$E$75*12,$F$121),0))*12))</f>
        <v>0</v>
      </c>
      <c r="AA86" s="222">
        <f>-IF('Key_Assumptions_&amp;_Inputs'!$E$11="Panel Leasing",0,IF(AA78=0,0,IF(AA78=1,0,IF(AA78&lt;=('Key_Assumptions_&amp;_Inputs'!$E$75+1),-PMT('Key_Assumptions_&amp;_Inputs'!$E$74/12,'Key_Assumptions_&amp;_Inputs'!$E$75*12,$F$121),0))*12))</f>
        <v>0</v>
      </c>
      <c r="AB86" s="222">
        <f>-IF('Key_Assumptions_&amp;_Inputs'!$E$11="Panel Leasing",0,IF(AB78=0,0,IF(AB78=1,0,IF(AB78&lt;=('Key_Assumptions_&amp;_Inputs'!$E$75+1),-PMT('Key_Assumptions_&amp;_Inputs'!$E$74/12,'Key_Assumptions_&amp;_Inputs'!$E$75*12,$F$121),0))*12))</f>
        <v>0</v>
      </c>
      <c r="AC86" s="222">
        <f>-IF('Key_Assumptions_&amp;_Inputs'!$E$11="Panel Leasing",0,IF(AC78=0,0,IF(AC78=1,0,IF(AC78&lt;=('Key_Assumptions_&amp;_Inputs'!$E$75+1),-PMT('Key_Assumptions_&amp;_Inputs'!$E$74/12,'Key_Assumptions_&amp;_Inputs'!$E$75*12,$F$121),0))*12))</f>
        <v>0</v>
      </c>
      <c r="AD86" s="223">
        <f>-IF('Key_Assumptions_&amp;_Inputs'!$E$11="Panel Leasing",0,IF(AD78=0,0,IF(AD78=1,0,IF(AD78&lt;=('Key_Assumptions_&amp;_Inputs'!$E$75+1),-PMT('Key_Assumptions_&amp;_Inputs'!$E$74/12,'Key_Assumptions_&amp;_Inputs'!$E$75*12,$F$121),0))*12))</f>
        <v>0</v>
      </c>
      <c r="AE86" s="220">
        <f t="shared" si="16"/>
        <v>0</v>
      </c>
    </row>
    <row r="87" spans="2:33" x14ac:dyDescent="0.25">
      <c r="B87" s="132" t="s">
        <v>205</v>
      </c>
      <c r="C87" s="133"/>
      <c r="D87" s="89" t="s">
        <v>0</v>
      </c>
      <c r="E87" s="173">
        <f>SUM(E85:E86)</f>
        <v>0</v>
      </c>
      <c r="F87" s="173">
        <f t="shared" ref="F87:AD87" si="17">SUM(F85:F86)</f>
        <v>0</v>
      </c>
      <c r="G87" s="173">
        <f t="shared" si="17"/>
        <v>0</v>
      </c>
      <c r="H87" s="173">
        <f t="shared" si="17"/>
        <v>0</v>
      </c>
      <c r="I87" s="173">
        <f t="shared" si="17"/>
        <v>0</v>
      </c>
      <c r="J87" s="173">
        <f t="shared" si="17"/>
        <v>0</v>
      </c>
      <c r="K87" s="173">
        <f t="shared" si="17"/>
        <v>0</v>
      </c>
      <c r="L87" s="173">
        <f t="shared" si="17"/>
        <v>0</v>
      </c>
      <c r="M87" s="173">
        <f t="shared" si="17"/>
        <v>0</v>
      </c>
      <c r="N87" s="173">
        <f t="shared" si="17"/>
        <v>0</v>
      </c>
      <c r="O87" s="173">
        <f t="shared" si="17"/>
        <v>0</v>
      </c>
      <c r="P87" s="173">
        <f t="shared" si="17"/>
        <v>0</v>
      </c>
      <c r="Q87" s="173">
        <f t="shared" si="17"/>
        <v>0</v>
      </c>
      <c r="R87" s="173">
        <f t="shared" si="17"/>
        <v>0</v>
      </c>
      <c r="S87" s="173">
        <f t="shared" si="17"/>
        <v>0</v>
      </c>
      <c r="T87" s="173">
        <f t="shared" si="17"/>
        <v>0</v>
      </c>
      <c r="U87" s="173">
        <f t="shared" si="17"/>
        <v>0</v>
      </c>
      <c r="V87" s="173">
        <f t="shared" si="17"/>
        <v>0</v>
      </c>
      <c r="W87" s="173">
        <f t="shared" si="17"/>
        <v>0</v>
      </c>
      <c r="X87" s="173">
        <f t="shared" si="17"/>
        <v>0</v>
      </c>
      <c r="Y87" s="173">
        <f t="shared" si="17"/>
        <v>0</v>
      </c>
      <c r="Z87" s="173">
        <f t="shared" si="17"/>
        <v>0</v>
      </c>
      <c r="AA87" s="173">
        <f t="shared" si="17"/>
        <v>0</v>
      </c>
      <c r="AB87" s="173">
        <f t="shared" si="17"/>
        <v>0</v>
      </c>
      <c r="AC87" s="173">
        <f t="shared" si="17"/>
        <v>0</v>
      </c>
      <c r="AD87" s="186">
        <f t="shared" si="17"/>
        <v>0</v>
      </c>
      <c r="AE87" s="221">
        <f t="shared" si="16"/>
        <v>0</v>
      </c>
    </row>
    <row r="88" spans="2:33" x14ac:dyDescent="0.25">
      <c r="B88" s="132"/>
      <c r="C88" s="133"/>
      <c r="D88" s="89"/>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86"/>
      <c r="AE88" s="221"/>
    </row>
    <row r="89" spans="2:33" x14ac:dyDescent="0.25">
      <c r="B89" s="134" t="s">
        <v>346</v>
      </c>
      <c r="C89" s="133"/>
      <c r="D89" s="89"/>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86"/>
      <c r="AE89" s="221"/>
    </row>
    <row r="90" spans="2:33" s="64" customFormat="1" x14ac:dyDescent="0.25">
      <c r="B90" s="137" t="s">
        <v>347</v>
      </c>
      <c r="C90" s="133"/>
      <c r="D90" s="96" t="s">
        <v>0</v>
      </c>
      <c r="E90" s="224">
        <v>0</v>
      </c>
      <c r="F90" s="224">
        <f>'Key_Assumptions_&amp;_Inputs'!$J$44</f>
        <v>6000</v>
      </c>
      <c r="G90" s="224">
        <f>'Key_Assumptions_&amp;_Inputs'!$J$44</f>
        <v>6000</v>
      </c>
      <c r="H90" s="224">
        <f>'Key_Assumptions_&amp;_Inputs'!$J$44</f>
        <v>6000</v>
      </c>
      <c r="I90" s="224">
        <f>'Key_Assumptions_&amp;_Inputs'!$J$44</f>
        <v>6000</v>
      </c>
      <c r="J90" s="224">
        <f>'Key_Assumptions_&amp;_Inputs'!$J$44</f>
        <v>6000</v>
      </c>
      <c r="K90" s="224">
        <f>'Key_Assumptions_&amp;_Inputs'!$J$44</f>
        <v>6000</v>
      </c>
      <c r="L90" s="224">
        <f>'Key_Assumptions_&amp;_Inputs'!$J$44</f>
        <v>6000</v>
      </c>
      <c r="M90" s="224">
        <f>'Key_Assumptions_&amp;_Inputs'!$J$44</f>
        <v>6000</v>
      </c>
      <c r="N90" s="224">
        <f>'Key_Assumptions_&amp;_Inputs'!$J$44</f>
        <v>6000</v>
      </c>
      <c r="O90" s="224">
        <f>'Key_Assumptions_&amp;_Inputs'!$J$44</f>
        <v>6000</v>
      </c>
      <c r="P90" s="224">
        <f>'Key_Assumptions_&amp;_Inputs'!$J$44</f>
        <v>6000</v>
      </c>
      <c r="Q90" s="224">
        <f>'Key_Assumptions_&amp;_Inputs'!$J$44</f>
        <v>6000</v>
      </c>
      <c r="R90" s="224">
        <f>'Key_Assumptions_&amp;_Inputs'!$J$44</f>
        <v>6000</v>
      </c>
      <c r="S90" s="224">
        <f>'Key_Assumptions_&amp;_Inputs'!$J$44</f>
        <v>6000</v>
      </c>
      <c r="T90" s="224">
        <f>'Key_Assumptions_&amp;_Inputs'!$J$44</f>
        <v>6000</v>
      </c>
      <c r="U90" s="224">
        <f>'Key_Assumptions_&amp;_Inputs'!$J$44</f>
        <v>6000</v>
      </c>
      <c r="V90" s="224">
        <f>'Key_Assumptions_&amp;_Inputs'!$J$44</f>
        <v>6000</v>
      </c>
      <c r="W90" s="224">
        <f>'Key_Assumptions_&amp;_Inputs'!$J$44</f>
        <v>6000</v>
      </c>
      <c r="X90" s="224">
        <f>'Key_Assumptions_&amp;_Inputs'!$J$44</f>
        <v>6000</v>
      </c>
      <c r="Y90" s="224">
        <f>'Key_Assumptions_&amp;_Inputs'!$J$44</f>
        <v>6000</v>
      </c>
      <c r="Z90" s="224">
        <f>'Key_Assumptions_&amp;_Inputs'!$J$44</f>
        <v>6000</v>
      </c>
      <c r="AA90" s="224">
        <f>'Key_Assumptions_&amp;_Inputs'!$J$44</f>
        <v>6000</v>
      </c>
      <c r="AB90" s="224">
        <f>'Key_Assumptions_&amp;_Inputs'!$J$44</f>
        <v>6000</v>
      </c>
      <c r="AC90" s="224">
        <f>'Key_Assumptions_&amp;_Inputs'!$J$44</f>
        <v>6000</v>
      </c>
      <c r="AD90" s="225">
        <f>'Key_Assumptions_&amp;_Inputs'!$J$44</f>
        <v>6000</v>
      </c>
      <c r="AE90" s="634">
        <f t="shared" ref="AE90" si="18">SUM(E90:AD90)</f>
        <v>150000</v>
      </c>
    </row>
    <row r="91" spans="2:33" s="64" customFormat="1" x14ac:dyDescent="0.25">
      <c r="B91" s="132" t="s">
        <v>28</v>
      </c>
      <c r="C91" s="133"/>
      <c r="D91" s="96" t="s">
        <v>0</v>
      </c>
      <c r="E91" s="224">
        <v>0</v>
      </c>
      <c r="F91" s="224">
        <f>Generation_Rates!E102</f>
        <v>25748.192761200011</v>
      </c>
      <c r="G91" s="224">
        <f>Generation_Rates!F102</f>
        <v>26331.672557361559</v>
      </c>
      <c r="H91" s="224">
        <f>Generation_Rates!G102</f>
        <v>26927.694596896134</v>
      </c>
      <c r="I91" s="224">
        <f>Generation_Rates!H102</f>
        <v>27536.505292009591</v>
      </c>
      <c r="J91" s="224">
        <f>Generation_Rates!I102</f>
        <v>28158.355062279094</v>
      </c>
      <c r="K91" s="224">
        <f>Generation_Rates!J102</f>
        <v>28793.498367025713</v>
      </c>
      <c r="L91" s="224">
        <f>Generation_Rates!K102</f>
        <v>29442.193736389898</v>
      </c>
      <c r="M91" s="224">
        <f>Generation_Rates!L102</f>
        <v>30104.703801012773</v>
      </c>
      <c r="N91" s="224">
        <f>Generation_Rates!M102</f>
        <v>30781.295320221445</v>
      </c>
      <c r="O91" s="224">
        <f>Generation_Rates!N102</f>
        <v>31472.239208612536</v>
      </c>
      <c r="P91" s="224">
        <f>Generation_Rates!O102</f>
        <v>32177.810560922906</v>
      </c>
      <c r="Q91" s="224">
        <f>Generation_Rates!P102</f>
        <v>32898.28867507173</v>
      </c>
      <c r="R91" s="224">
        <f>Generation_Rates!Q102</f>
        <v>33633.957073253347</v>
      </c>
      <c r="S91" s="224">
        <f>Generation_Rates!R102</f>
        <v>34385.10352095421</v>
      </c>
      <c r="T91" s="224">
        <f>Generation_Rates!S102</f>
        <v>35152.020043762743</v>
      </c>
      <c r="U91" s="224">
        <f>Generation_Rates!T102</f>
        <v>35935.002941834297</v>
      </c>
      <c r="V91" s="224">
        <f>Generation_Rates!U102</f>
        <v>36734.352801868008</v>
      </c>
      <c r="W91" s="224">
        <f>Generation_Rates!V102</f>
        <v>37550.374506446031</v>
      </c>
      <c r="X91" s="224">
        <f>Generation_Rates!W102</f>
        <v>38383.37724057919</v>
      </c>
      <c r="Y91" s="224">
        <f>Generation_Rates!X102</f>
        <v>39233.674495296589</v>
      </c>
      <c r="Z91" s="224">
        <f>Generation_Rates!Y102</f>
        <v>40101.584068109667</v>
      </c>
      <c r="AA91" s="224">
        <f>Generation_Rates!Z102</f>
        <v>40987.428060174221</v>
      </c>
      <c r="AB91" s="224">
        <f>Generation_Rates!AA102</f>
        <v>41891.532869966351</v>
      </c>
      <c r="AC91" s="224">
        <f>Generation_Rates!AB102</f>
        <v>42814.229183280906</v>
      </c>
      <c r="AD91" s="225">
        <f>Generation_Rates!AC102</f>
        <v>43755.851959352527</v>
      </c>
      <c r="AE91" s="220">
        <f t="shared" ref="AE91:AE92" si="19">SUM(E91:AD91)</f>
        <v>850930.93870388146</v>
      </c>
    </row>
    <row r="92" spans="2:33" x14ac:dyDescent="0.25">
      <c r="B92" s="135" t="s">
        <v>30</v>
      </c>
      <c r="C92" s="136"/>
      <c r="D92" s="95" t="s">
        <v>0</v>
      </c>
      <c r="E92" s="226">
        <f>E90+E91</f>
        <v>0</v>
      </c>
      <c r="F92" s="226">
        <f t="shared" ref="F92:AD92" si="20">F90+F91</f>
        <v>31748.192761200011</v>
      </c>
      <c r="G92" s="226">
        <f t="shared" si="20"/>
        <v>32331.672557361559</v>
      </c>
      <c r="H92" s="226">
        <f t="shared" si="20"/>
        <v>32927.694596896137</v>
      </c>
      <c r="I92" s="226">
        <f t="shared" si="20"/>
        <v>33536.505292009591</v>
      </c>
      <c r="J92" s="226">
        <f t="shared" si="20"/>
        <v>34158.355062279094</v>
      </c>
      <c r="K92" s="226">
        <f t="shared" si="20"/>
        <v>34793.498367025713</v>
      </c>
      <c r="L92" s="226">
        <f t="shared" si="20"/>
        <v>35442.193736389898</v>
      </c>
      <c r="M92" s="226">
        <f t="shared" si="20"/>
        <v>36104.703801012773</v>
      </c>
      <c r="N92" s="226">
        <f t="shared" si="20"/>
        <v>36781.295320221441</v>
      </c>
      <c r="O92" s="226">
        <f t="shared" si="20"/>
        <v>37472.239208612533</v>
      </c>
      <c r="P92" s="226">
        <f t="shared" si="20"/>
        <v>38177.81056092291</v>
      </c>
      <c r="Q92" s="226">
        <f t="shared" si="20"/>
        <v>38898.28867507173</v>
      </c>
      <c r="R92" s="226">
        <f t="shared" si="20"/>
        <v>39633.957073253347</v>
      </c>
      <c r="S92" s="226">
        <f t="shared" si="20"/>
        <v>40385.10352095421</v>
      </c>
      <c r="T92" s="226">
        <f t="shared" si="20"/>
        <v>41152.020043762743</v>
      </c>
      <c r="U92" s="226">
        <f t="shared" si="20"/>
        <v>41935.002941834297</v>
      </c>
      <c r="V92" s="226">
        <f t="shared" si="20"/>
        <v>42734.352801868008</v>
      </c>
      <c r="W92" s="226">
        <f t="shared" si="20"/>
        <v>43550.374506446031</v>
      </c>
      <c r="X92" s="226">
        <f t="shared" si="20"/>
        <v>44383.37724057919</v>
      </c>
      <c r="Y92" s="226">
        <f t="shared" si="20"/>
        <v>45233.674495296589</v>
      </c>
      <c r="Z92" s="226">
        <f t="shared" si="20"/>
        <v>46101.584068109667</v>
      </c>
      <c r="AA92" s="226">
        <f t="shared" si="20"/>
        <v>46987.428060174221</v>
      </c>
      <c r="AB92" s="226">
        <f t="shared" si="20"/>
        <v>47891.532869966351</v>
      </c>
      <c r="AC92" s="226">
        <f t="shared" si="20"/>
        <v>48814.229183280906</v>
      </c>
      <c r="AD92" s="227">
        <f t="shared" si="20"/>
        <v>49755.851959352527</v>
      </c>
      <c r="AE92" s="221">
        <f t="shared" si="19"/>
        <v>1000930.9387038815</v>
      </c>
    </row>
    <row r="93" spans="2:33" ht="15.75" thickBot="1" x14ac:dyDescent="0.3">
      <c r="B93" s="132"/>
      <c r="C93" s="133"/>
      <c r="D93" s="89"/>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86"/>
      <c r="AE93" s="228"/>
    </row>
    <row r="94" spans="2:33" ht="15.75" thickBot="1" x14ac:dyDescent="0.3">
      <c r="B94" s="146" t="s">
        <v>8</v>
      </c>
      <c r="C94" s="131"/>
      <c r="D94" s="101" t="s">
        <v>0</v>
      </c>
      <c r="E94" s="229">
        <f>E82+E87+E92</f>
        <v>0</v>
      </c>
      <c r="F94" s="174">
        <f t="shared" ref="F94:AD94" si="21">F82+F87+F92</f>
        <v>10352.579857974208</v>
      </c>
      <c r="G94" s="174">
        <f t="shared" si="21"/>
        <v>10936.059654135755</v>
      </c>
      <c r="H94" s="174">
        <f t="shared" si="21"/>
        <v>11532.081693670334</v>
      </c>
      <c r="I94" s="174">
        <f t="shared" si="21"/>
        <v>12140.892388783788</v>
      </c>
      <c r="J94" s="174">
        <f t="shared" si="21"/>
        <v>12762.74215905329</v>
      </c>
      <c r="K94" s="174">
        <f t="shared" si="21"/>
        <v>13397.88546379991</v>
      </c>
      <c r="L94" s="174">
        <f t="shared" si="21"/>
        <v>14046.580833164095</v>
      </c>
      <c r="M94" s="174">
        <f t="shared" si="21"/>
        <v>14709.090897786969</v>
      </c>
      <c r="N94" s="174">
        <f t="shared" si="21"/>
        <v>15385.682416995638</v>
      </c>
      <c r="O94" s="174">
        <f t="shared" si="21"/>
        <v>16076.62630538673</v>
      </c>
      <c r="P94" s="174">
        <f t="shared" si="21"/>
        <v>16782.197657697106</v>
      </c>
      <c r="Q94" s="174">
        <f t="shared" si="21"/>
        <v>17502.675771845927</v>
      </c>
      <c r="R94" s="174">
        <f t="shared" si="21"/>
        <v>18238.344170027543</v>
      </c>
      <c r="S94" s="174">
        <f t="shared" si="21"/>
        <v>18989.490617728407</v>
      </c>
      <c r="T94" s="174">
        <f t="shared" si="21"/>
        <v>19756.40714053694</v>
      </c>
      <c r="U94" s="174">
        <f t="shared" si="21"/>
        <v>20539.390038608493</v>
      </c>
      <c r="V94" s="174">
        <f t="shared" si="21"/>
        <v>21338.739898642205</v>
      </c>
      <c r="W94" s="174">
        <f t="shared" si="21"/>
        <v>22154.761603220228</v>
      </c>
      <c r="X94" s="174">
        <f t="shared" si="21"/>
        <v>22987.764337353387</v>
      </c>
      <c r="Y94" s="174">
        <f t="shared" si="21"/>
        <v>23838.061592070786</v>
      </c>
      <c r="Z94" s="174">
        <f t="shared" si="21"/>
        <v>24705.971164883864</v>
      </c>
      <c r="AA94" s="174">
        <f t="shared" si="21"/>
        <v>25591.815156948418</v>
      </c>
      <c r="AB94" s="174">
        <f t="shared" si="21"/>
        <v>26495.919966740548</v>
      </c>
      <c r="AC94" s="174">
        <f t="shared" si="21"/>
        <v>27418.616280055103</v>
      </c>
      <c r="AD94" s="178">
        <f t="shared" si="21"/>
        <v>28360.239056126724</v>
      </c>
      <c r="AE94" s="221">
        <f t="shared" ref="AE94" si="22">SUM(E94:AD94)</f>
        <v>466040.61612323637</v>
      </c>
      <c r="AG94" s="75">
        <f>AVERAGE(F94:AD94)</f>
        <v>18641.624644929456</v>
      </c>
    </row>
    <row r="95" spans="2:33" ht="15.75" thickBot="1" x14ac:dyDescent="0.3">
      <c r="B95" s="147" t="s">
        <v>9</v>
      </c>
      <c r="C95" s="145"/>
      <c r="D95" s="100" t="s">
        <v>0</v>
      </c>
      <c r="E95" s="231">
        <f>E94</f>
        <v>0</v>
      </c>
      <c r="F95" s="174">
        <f>E95+F94</f>
        <v>10352.579857974208</v>
      </c>
      <c r="G95" s="174">
        <f t="shared" ref="G95" si="23">F95+G94</f>
        <v>21288.639512109963</v>
      </c>
      <c r="H95" s="174">
        <f t="shared" ref="H95" si="24">G95+H94</f>
        <v>32820.721205780297</v>
      </c>
      <c r="I95" s="174">
        <f t="shared" ref="I95" si="25">H95+I94</f>
        <v>44961.613594564085</v>
      </c>
      <c r="J95" s="174">
        <f t="shared" ref="J95" si="26">I95+J94</f>
        <v>57724.355753617376</v>
      </c>
      <c r="K95" s="174">
        <f t="shared" ref="K95" si="27">J95+K94</f>
        <v>71122.241217417293</v>
      </c>
      <c r="L95" s="174">
        <f t="shared" ref="L95" si="28">K95+L94</f>
        <v>85168.822050581395</v>
      </c>
      <c r="M95" s="174">
        <f t="shared" ref="M95" si="29">L95+M94</f>
        <v>99877.912948368365</v>
      </c>
      <c r="N95" s="174">
        <f t="shared" ref="N95" si="30">M95+N94</f>
        <v>115263.595365364</v>
      </c>
      <c r="O95" s="174">
        <f t="shared" ref="O95" si="31">N95+O94</f>
        <v>131340.22167075073</v>
      </c>
      <c r="P95" s="174">
        <f t="shared" ref="P95" si="32">O95+P94</f>
        <v>148122.41932844784</v>
      </c>
      <c r="Q95" s="174">
        <f t="shared" ref="Q95" si="33">P95+Q94</f>
        <v>165625.09510029375</v>
      </c>
      <c r="R95" s="174">
        <f t="shared" ref="R95" si="34">Q95+R94</f>
        <v>183863.43927032128</v>
      </c>
      <c r="S95" s="174">
        <f t="shared" ref="S95" si="35">R95+S94</f>
        <v>202852.92988804969</v>
      </c>
      <c r="T95" s="174">
        <f t="shared" ref="T95" si="36">S95+T94</f>
        <v>222609.33702858663</v>
      </c>
      <c r="U95" s="174">
        <f t="shared" ref="U95" si="37">T95+U94</f>
        <v>243148.72706719511</v>
      </c>
      <c r="V95" s="174">
        <f t="shared" ref="V95" si="38">U95+V94</f>
        <v>264487.46696583729</v>
      </c>
      <c r="W95" s="174">
        <f t="shared" ref="W95" si="39">V95+W94</f>
        <v>286642.22856905754</v>
      </c>
      <c r="X95" s="174">
        <f t="shared" ref="X95" si="40">W95+X94</f>
        <v>309629.99290641095</v>
      </c>
      <c r="Y95" s="174">
        <f t="shared" ref="Y95" si="41">X95+Y94</f>
        <v>333468.05449848174</v>
      </c>
      <c r="Z95" s="174">
        <f t="shared" ref="Z95" si="42">Y95+Z94</f>
        <v>358174.02566336561</v>
      </c>
      <c r="AA95" s="174">
        <f t="shared" ref="AA95" si="43">Z95+AA94</f>
        <v>383765.84082031401</v>
      </c>
      <c r="AB95" s="174">
        <f t="shared" ref="AB95" si="44">AA95+AB94</f>
        <v>410261.76078705455</v>
      </c>
      <c r="AC95" s="174">
        <f t="shared" ref="AC95" si="45">AB95+AC94</f>
        <v>437680.37706710963</v>
      </c>
      <c r="AD95" s="178">
        <f t="shared" ref="AD95" si="46">AC95+AD94</f>
        <v>466040.61612323637</v>
      </c>
      <c r="AE95" s="221"/>
      <c r="AG95" s="84">
        <f>AG94/12</f>
        <v>1553.4687204107879</v>
      </c>
    </row>
    <row r="96" spans="2:33" ht="15.75" thickBot="1" x14ac:dyDescent="0.3">
      <c r="B96" s="147" t="s">
        <v>63</v>
      </c>
      <c r="C96" s="145"/>
      <c r="D96" s="100"/>
      <c r="E96" s="234">
        <f>SUM(F96:Y96)</f>
        <v>0</v>
      </c>
      <c r="F96" s="234">
        <f>IF(F95&lt;0,1,IF(AND(F95&gt;0,E95&lt;0),(-E95/(F95-E95)),0))</f>
        <v>0</v>
      </c>
      <c r="G96" s="234">
        <f>IF(F96=0,0,IF(G95&lt;0,1,IF(AND(G95&gt;0,F95&lt;0),(-F95/(G95-F95)),0)))</f>
        <v>0</v>
      </c>
      <c r="H96" s="234">
        <f t="shared" ref="H96" si="47">IF(G96=0,0,IF(H95&lt;0,1,IF(AND(H95&gt;0,G95&lt;0),(-G95/(H95-G95)),0)))</f>
        <v>0</v>
      </c>
      <c r="I96" s="234">
        <f t="shared" ref="I96" si="48">IF(H96=0,0,IF(I95&lt;0,1,IF(AND(I95&gt;0,H95&lt;0),(-H95/(I95-H95)),0)))</f>
        <v>0</v>
      </c>
      <c r="J96" s="234">
        <f t="shared" ref="J96" si="49">IF(I96=0,0,IF(J95&lt;0,1,IF(AND(J95&gt;0,I95&lt;0),(-I95/(J95-I95)),0)))</f>
        <v>0</v>
      </c>
      <c r="K96" s="234">
        <f t="shared" ref="K96" si="50">IF(J96=0,0,IF(K95&lt;0,1,IF(AND(K95&gt;0,J95&lt;0),(-J95/(K95-J95)),0)))</f>
        <v>0</v>
      </c>
      <c r="L96" s="234">
        <f t="shared" ref="L96" si="51">IF(K96=0,0,IF(L95&lt;0,1,IF(AND(L95&gt;0,K95&lt;0),(-K95/(L95-K95)),0)))</f>
        <v>0</v>
      </c>
      <c r="M96" s="234">
        <f t="shared" ref="M96" si="52">IF(L96=0,0,IF(M95&lt;0,1,IF(AND(M95&gt;0,L95&lt;0),(-L95/(M95-L95)),0)))</f>
        <v>0</v>
      </c>
      <c r="N96" s="234">
        <f t="shared" ref="N96" si="53">IF(M96=0,0,IF(N95&lt;0,1,IF(AND(N95&gt;0,M95&lt;0),(-M95/(N95-M95)),0)))</f>
        <v>0</v>
      </c>
      <c r="O96" s="234">
        <f t="shared" ref="O96" si="54">IF(N96=0,0,IF(O95&lt;0,1,IF(AND(O95&gt;0,N95&lt;0),(-N95/(O95-N95)),0)))</f>
        <v>0</v>
      </c>
      <c r="P96" s="234">
        <f t="shared" ref="P96" si="55">IF(O96=0,0,IF(P95&lt;0,1,IF(AND(P95&gt;0,O95&lt;0),(-O95/(P95-O95)),0)))</f>
        <v>0</v>
      </c>
      <c r="Q96" s="234">
        <f t="shared" ref="Q96" si="56">IF(P96=0,0,IF(Q95&lt;0,1,IF(AND(Q95&gt;0,P95&lt;0),(-P95/(Q95-P95)),0)))</f>
        <v>0</v>
      </c>
      <c r="R96" s="234">
        <f t="shared" ref="R96" si="57">IF(Q96=0,0,IF(R95&lt;0,1,IF(AND(R95&gt;0,Q95&lt;0),(-Q95/(R95-Q95)),0)))</f>
        <v>0</v>
      </c>
      <c r="S96" s="234">
        <f t="shared" ref="S96" si="58">IF(R96=0,0,IF(S95&lt;0,1,IF(AND(S95&gt;0,R95&lt;0),(-R95/(S95-R95)),0)))</f>
        <v>0</v>
      </c>
      <c r="T96" s="234">
        <f t="shared" ref="T96" si="59">IF(S96=0,0,IF(T95&lt;0,1,IF(AND(T95&gt;0,S95&lt;0),(-S95/(T95-S95)),0)))</f>
        <v>0</v>
      </c>
      <c r="U96" s="234">
        <f t="shared" ref="U96" si="60">IF(T96=0,0,IF(U95&lt;0,1,IF(AND(U95&gt;0,T95&lt;0),(-T95/(U95-T95)),0)))</f>
        <v>0</v>
      </c>
      <c r="V96" s="234">
        <f t="shared" ref="V96" si="61">IF(U96=0,0,IF(V95&lt;0,1,IF(AND(V95&gt;0,U95&lt;0),(-U95/(V95-U95)),0)))</f>
        <v>0</v>
      </c>
      <c r="W96" s="234">
        <f t="shared" ref="W96" si="62">IF(V96=0,0,IF(W95&lt;0,1,IF(AND(W95&gt;0,V95&lt;0),(-V95/(W95-V95)),0)))</f>
        <v>0</v>
      </c>
      <c r="X96" s="234">
        <f t="shared" ref="X96" si="63">IF(W96=0,0,IF(X95&lt;0,1,IF(AND(X95&gt;0,W95&lt;0),(-W95/(X95-W95)),0)))</f>
        <v>0</v>
      </c>
      <c r="Y96" s="234">
        <f t="shared" ref="Y96" si="64">IF(X96=0,0,IF(Y95&lt;0,1,IF(AND(Y95&gt;0,X95&lt;0),(-X95/(Y95-X95)),0)))</f>
        <v>0</v>
      </c>
      <c r="Z96" s="234">
        <f>IF(Y96=0,0,IF(Z95&lt;0,1,IF(AND(Z95&gt;0,Y95&lt;0),(-Y95/(Z95-Y95)),0)))</f>
        <v>0</v>
      </c>
      <c r="AA96" s="234">
        <f>IF(Z96=0,0,IF(AA95&lt;0,1,IF(AND(AA95&gt;0,Z95&lt;0),(-Z95/(AA95-Z95)),0)))</f>
        <v>0</v>
      </c>
      <c r="AB96" s="234">
        <f>IF(AA96=0,0,IF(AB95&lt;0,1,IF(AND(AB95&gt;0,AA95&lt;0),(-AA95/(AB95-AA95)),0)))</f>
        <v>0</v>
      </c>
      <c r="AC96" s="234">
        <f>IF(AB96=0,0,IF(AC95&lt;0,1,IF(AND(AC95&gt;0,AB95&lt;0),(-AB95/(AC95-AB95)),0)))</f>
        <v>0</v>
      </c>
      <c r="AD96" s="235">
        <f>IF(AC96=0,0,IF(AD95&lt;0,1,IF(AND(AD95&gt;0,AC95&lt;0),(-AC95/(AD95-AC95)),0)))</f>
        <v>0</v>
      </c>
      <c r="AE96" s="233"/>
    </row>
    <row r="98" spans="2:12" x14ac:dyDescent="0.25">
      <c r="B98" s="71"/>
      <c r="C98" s="150" t="s">
        <v>10</v>
      </c>
      <c r="D98" s="157" t="s">
        <v>0</v>
      </c>
      <c r="E98" s="162">
        <f>E82+E87</f>
        <v>0</v>
      </c>
    </row>
    <row r="99" spans="2:12" x14ac:dyDescent="0.25">
      <c r="C99" s="150" t="s">
        <v>11</v>
      </c>
      <c r="D99" s="157" t="s">
        <v>0</v>
      </c>
      <c r="E99" s="162">
        <f>F94</f>
        <v>10352.579857974208</v>
      </c>
    </row>
    <row r="100" spans="2:12" x14ac:dyDescent="0.25">
      <c r="C100" s="1"/>
      <c r="E100" s="5"/>
    </row>
    <row r="101" spans="2:12" x14ac:dyDescent="0.25">
      <c r="C101" s="1"/>
      <c r="D101" s="70"/>
      <c r="E101" s="68" t="s">
        <v>183</v>
      </c>
      <c r="F101" s="68" t="s">
        <v>37</v>
      </c>
    </row>
    <row r="102" spans="2:12" x14ac:dyDescent="0.25">
      <c r="C102" s="150" t="s">
        <v>12</v>
      </c>
      <c r="D102" s="157" t="s">
        <v>0</v>
      </c>
      <c r="E102" s="162">
        <f>SUM(E82:AD82)+SUM(E87:AD87)</f>
        <v>-534890.32258064533</v>
      </c>
      <c r="F102" s="162">
        <f>E102/'Key_Assumptions_&amp;_Inputs'!$E$18/1000</f>
        <v>-0.37935483870967757</v>
      </c>
      <c r="H102" s="84"/>
    </row>
    <row r="103" spans="2:12" x14ac:dyDescent="0.25">
      <c r="C103" s="150" t="s">
        <v>13</v>
      </c>
      <c r="D103" s="157" t="s">
        <v>0</v>
      </c>
      <c r="E103" s="162">
        <f>SUM(E92:AD92)</f>
        <v>1000930.9387038815</v>
      </c>
      <c r="F103" s="162">
        <f>E103/'Key_Assumptions_&amp;_Inputs'!$E$18/1000</f>
        <v>0.70988009837154709</v>
      </c>
      <c r="H103" s="84"/>
    </row>
    <row r="104" spans="2:12" x14ac:dyDescent="0.25">
      <c r="C104" s="150" t="s">
        <v>14</v>
      </c>
      <c r="D104" s="157" t="s">
        <v>0</v>
      </c>
      <c r="E104" s="162">
        <f>E103+E102</f>
        <v>466040.61612323613</v>
      </c>
      <c r="F104" s="162">
        <f>E104/'Key_Assumptions_&amp;_Inputs'!$E$18/1000</f>
        <v>0.33052525966186957</v>
      </c>
    </row>
    <row r="105" spans="2:12" x14ac:dyDescent="0.25">
      <c r="C105" s="150" t="s">
        <v>15</v>
      </c>
      <c r="D105" s="157" t="s">
        <v>0</v>
      </c>
      <c r="E105" s="162">
        <f>E94+NPV('Key_Assumptions_&amp;_Inputs'!E30,F94:AD94)</f>
        <v>105859.72020278299</v>
      </c>
      <c r="F105" s="162">
        <f>E105/'Key_Assumptions_&amp;_Inputs'!$E$18/1000</f>
        <v>7.5077815746654605E-2</v>
      </c>
      <c r="G105" s="75"/>
    </row>
    <row r="106" spans="2:12" x14ac:dyDescent="0.25">
      <c r="C106" s="150" t="s">
        <v>23</v>
      </c>
      <c r="D106" s="157" t="s">
        <v>5</v>
      </c>
      <c r="E106" s="160" t="e">
        <f>IRR(F94:AD94)</f>
        <v>#NUM!</v>
      </c>
      <c r="F106" s="160" t="s">
        <v>181</v>
      </c>
    </row>
    <row r="107" spans="2:12" x14ac:dyDescent="0.25">
      <c r="C107" s="150" t="s">
        <v>83</v>
      </c>
      <c r="D107" s="157" t="s">
        <v>5</v>
      </c>
      <c r="E107" s="160" t="e">
        <f>MIRR(E94:AD94,0,'Key_Assumptions_&amp;_Inputs'!E30)</f>
        <v>#DIV/0!</v>
      </c>
      <c r="F107" s="160" t="s">
        <v>181</v>
      </c>
    </row>
    <row r="108" spans="2:12" x14ac:dyDescent="0.25">
      <c r="C108" s="150" t="s">
        <v>22</v>
      </c>
      <c r="D108" s="157" t="s">
        <v>5</v>
      </c>
      <c r="E108" s="160">
        <f>E104/(-E102)</f>
        <v>0.87128257223792127</v>
      </c>
      <c r="F108" s="160" t="s">
        <v>181</v>
      </c>
    </row>
    <row r="109" spans="2:12" x14ac:dyDescent="0.25">
      <c r="C109" s="150" t="s">
        <v>18</v>
      </c>
      <c r="D109" s="157" t="s">
        <v>4</v>
      </c>
      <c r="E109" s="161">
        <f>E96</f>
        <v>0</v>
      </c>
      <c r="F109" s="160" t="s">
        <v>181</v>
      </c>
    </row>
    <row r="110" spans="2:12" s="64" customFormat="1" x14ac:dyDescent="0.25">
      <c r="C110" s="66"/>
      <c r="D110" s="119"/>
      <c r="E110" s="120"/>
    </row>
    <row r="111" spans="2:12" x14ac:dyDescent="0.25">
      <c r="F111" s="84"/>
      <c r="G111" s="84"/>
      <c r="H111" s="84"/>
      <c r="I111" s="84"/>
      <c r="J111" s="84"/>
      <c r="K111" s="84"/>
      <c r="L111" s="84"/>
    </row>
    <row r="112" spans="2:12" ht="15.75" thickBot="1" x14ac:dyDescent="0.3">
      <c r="F112" s="84"/>
      <c r="G112" s="84"/>
      <c r="H112" s="84"/>
      <c r="I112" s="84"/>
      <c r="J112" s="84"/>
      <c r="K112" s="84"/>
      <c r="L112" s="84"/>
    </row>
    <row r="113" spans="2:31" ht="15.75" thickBot="1" x14ac:dyDescent="0.3">
      <c r="B113" s="785" t="s">
        <v>293</v>
      </c>
      <c r="C113" s="786"/>
      <c r="D113" s="787"/>
    </row>
    <row r="114" spans="2:31" x14ac:dyDescent="0.25">
      <c r="B114" s="130"/>
      <c r="C114" s="131"/>
      <c r="D114" s="155" t="s">
        <v>24</v>
      </c>
      <c r="E114" s="153">
        <v>0</v>
      </c>
      <c r="F114" s="127">
        <v>1</v>
      </c>
      <c r="G114" s="127">
        <v>2</v>
      </c>
      <c r="H114" s="127">
        <v>3</v>
      </c>
      <c r="I114" s="127">
        <v>4</v>
      </c>
      <c r="J114" s="127">
        <v>5</v>
      </c>
      <c r="K114" s="127">
        <v>6</v>
      </c>
      <c r="L114" s="127">
        <v>7</v>
      </c>
      <c r="M114" s="127">
        <v>8</v>
      </c>
      <c r="N114" s="127">
        <v>9</v>
      </c>
      <c r="O114" s="127">
        <v>10</v>
      </c>
      <c r="P114" s="127">
        <v>11</v>
      </c>
      <c r="Q114" s="127">
        <v>12</v>
      </c>
      <c r="R114" s="127">
        <v>13</v>
      </c>
      <c r="S114" s="127">
        <v>14</v>
      </c>
      <c r="T114" s="127">
        <v>15</v>
      </c>
      <c r="U114" s="127">
        <v>16</v>
      </c>
      <c r="V114" s="127">
        <v>17</v>
      </c>
      <c r="W114" s="127">
        <v>18</v>
      </c>
      <c r="X114" s="127">
        <v>19</v>
      </c>
      <c r="Y114" s="127">
        <v>20</v>
      </c>
      <c r="Z114" s="127">
        <v>21</v>
      </c>
      <c r="AA114" s="127">
        <v>22</v>
      </c>
      <c r="AB114" s="127">
        <v>23</v>
      </c>
      <c r="AC114" s="127">
        <v>24</v>
      </c>
      <c r="AD114" s="127">
        <v>25</v>
      </c>
      <c r="AE114" s="154" t="s">
        <v>17</v>
      </c>
    </row>
    <row r="115" spans="2:31" x14ac:dyDescent="0.25">
      <c r="B115" s="132"/>
      <c r="C115" s="133"/>
      <c r="D115" s="152" t="s">
        <v>25</v>
      </c>
      <c r="E115" s="124"/>
      <c r="F115" s="124">
        <v>2018</v>
      </c>
      <c r="G115" s="125">
        <f t="shared" ref="G115:AD115" si="65">F115+1</f>
        <v>2019</v>
      </c>
      <c r="H115" s="125">
        <f t="shared" si="65"/>
        <v>2020</v>
      </c>
      <c r="I115" s="124">
        <f t="shared" si="65"/>
        <v>2021</v>
      </c>
      <c r="J115" s="124">
        <f t="shared" si="65"/>
        <v>2022</v>
      </c>
      <c r="K115" s="124">
        <f t="shared" si="65"/>
        <v>2023</v>
      </c>
      <c r="L115" s="124">
        <f t="shared" si="65"/>
        <v>2024</v>
      </c>
      <c r="M115" s="124">
        <f t="shared" si="65"/>
        <v>2025</v>
      </c>
      <c r="N115" s="124">
        <f t="shared" si="65"/>
        <v>2026</v>
      </c>
      <c r="O115" s="124">
        <f t="shared" si="65"/>
        <v>2027</v>
      </c>
      <c r="P115" s="124">
        <f t="shared" si="65"/>
        <v>2028</v>
      </c>
      <c r="Q115" s="124">
        <f t="shared" si="65"/>
        <v>2029</v>
      </c>
      <c r="R115" s="124">
        <f t="shared" si="65"/>
        <v>2030</v>
      </c>
      <c r="S115" s="124">
        <f t="shared" si="65"/>
        <v>2031</v>
      </c>
      <c r="T115" s="124">
        <f t="shared" si="65"/>
        <v>2032</v>
      </c>
      <c r="U115" s="124">
        <f t="shared" si="65"/>
        <v>2033</v>
      </c>
      <c r="V115" s="124">
        <f t="shared" si="65"/>
        <v>2034</v>
      </c>
      <c r="W115" s="124">
        <f t="shared" si="65"/>
        <v>2035</v>
      </c>
      <c r="X115" s="124">
        <f t="shared" si="65"/>
        <v>2036</v>
      </c>
      <c r="Y115" s="124">
        <f t="shared" si="65"/>
        <v>2037</v>
      </c>
      <c r="Z115" s="124">
        <f t="shared" si="65"/>
        <v>2038</v>
      </c>
      <c r="AA115" s="124">
        <f t="shared" si="65"/>
        <v>2039</v>
      </c>
      <c r="AB115" s="124">
        <f t="shared" si="65"/>
        <v>2040</v>
      </c>
      <c r="AC115" s="124">
        <f t="shared" si="65"/>
        <v>2041</v>
      </c>
      <c r="AD115" s="126">
        <f t="shared" si="65"/>
        <v>2042</v>
      </c>
      <c r="AE115" s="166"/>
    </row>
    <row r="116" spans="2:31" x14ac:dyDescent="0.25">
      <c r="B116" s="134" t="s">
        <v>32</v>
      </c>
      <c r="C116" s="133"/>
      <c r="D116" s="87"/>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7"/>
      <c r="AE116" s="165"/>
    </row>
    <row r="117" spans="2:31" x14ac:dyDescent="0.25">
      <c r="B117" s="163" t="s">
        <v>31</v>
      </c>
      <c r="C117" s="139"/>
      <c r="D117" s="93" t="s">
        <v>0</v>
      </c>
      <c r="E117" s="219">
        <f>IF(E114=0,0,-IF('Key_Assumptions_&amp;_Inputs'!$E$11="Panel Leasing",'Key_Assumptions_&amp;_Inputs'!$E$12*12*'Key_Assumptions_&amp;_Inputs'!$E$22*(1+'Key_Assumptions_&amp;_Inputs'!$E$61)^(E114-1),0))-IF(AND('Key_Assumptions_&amp;_Inputs'!$E$11="Panel Purchasing",Community_Solar_Business_Case!E114=1),'Key_Assumptions_&amp;_Inputs'!$E$12*'Key_Assumptions_&amp;_Inputs'!$E$22,0)</f>
        <v>0</v>
      </c>
      <c r="F117" s="219">
        <f>IF(F114=0,0,-IF('Key_Assumptions_&amp;_Inputs'!$E$11="Panel Leasing",'Key_Assumptions_&amp;_Inputs'!$E$12*12*'Key_Assumptions_&amp;_Inputs'!$E$22*(1+'Key_Assumptions_&amp;_Inputs'!$E$61)^(F114-1),0))-IF(AND('Key_Assumptions_&amp;_Inputs'!$E$11="Panel Purchasing",Community_Solar_Business_Case!F114=1),'Key_Assumptions_&amp;_Inputs'!$E$12*'Key_Assumptions_&amp;_Inputs'!$E$22,0)</f>
        <v>-331.2</v>
      </c>
      <c r="G117" s="219">
        <f>IF(G114=0,0,-IF('Key_Assumptions_&amp;_Inputs'!$E$11="Panel Leasing",'Key_Assumptions_&amp;_Inputs'!$E$12*12*'Key_Assumptions_&amp;_Inputs'!$E$22*(1+'Key_Assumptions_&amp;_Inputs'!$E$61)^(G114-1),0))-IF(AND('Key_Assumptions_&amp;_Inputs'!$E$11="Panel Purchasing",Community_Solar_Business_Case!G114=1),'Key_Assumptions_&amp;_Inputs'!$E$12*'Key_Assumptions_&amp;_Inputs'!$E$22,0)</f>
        <v>-331.2</v>
      </c>
      <c r="H117" s="219">
        <f>IF(H114=0,0,-IF('Key_Assumptions_&amp;_Inputs'!$E$11="Panel Leasing",'Key_Assumptions_&amp;_Inputs'!$E$12*12*'Key_Assumptions_&amp;_Inputs'!$E$22*(1+'Key_Assumptions_&amp;_Inputs'!$E$61)^(H114-1),0))-IF(AND('Key_Assumptions_&amp;_Inputs'!$E$11="Panel Purchasing",Community_Solar_Business_Case!H114=1),'Key_Assumptions_&amp;_Inputs'!$E$12*'Key_Assumptions_&amp;_Inputs'!$E$22,0)</f>
        <v>-331.2</v>
      </c>
      <c r="I117" s="219">
        <f>IF(I114=0,0,-IF('Key_Assumptions_&amp;_Inputs'!$E$11="Panel Leasing",'Key_Assumptions_&amp;_Inputs'!$E$12*12*'Key_Assumptions_&amp;_Inputs'!$E$22*(1+'Key_Assumptions_&amp;_Inputs'!$E$61)^(I114-1),0))-IF(AND('Key_Assumptions_&amp;_Inputs'!$E$11="Panel Purchasing",Community_Solar_Business_Case!I114=1),'Key_Assumptions_&amp;_Inputs'!$E$12*'Key_Assumptions_&amp;_Inputs'!$E$22,0)</f>
        <v>-331.2</v>
      </c>
      <c r="J117" s="219">
        <f>IF(J114=0,0,-IF('Key_Assumptions_&amp;_Inputs'!$E$11="Panel Leasing",'Key_Assumptions_&amp;_Inputs'!$E$12*12*'Key_Assumptions_&amp;_Inputs'!$E$22*(1+'Key_Assumptions_&amp;_Inputs'!$E$61)^(J114-1),0))-IF(AND('Key_Assumptions_&amp;_Inputs'!$E$11="Panel Purchasing",Community_Solar_Business_Case!J114=1),'Key_Assumptions_&amp;_Inputs'!$E$12*'Key_Assumptions_&amp;_Inputs'!$E$22,0)</f>
        <v>-331.2</v>
      </c>
      <c r="K117" s="219">
        <f>IF(K114=0,0,-IF('Key_Assumptions_&amp;_Inputs'!$E$11="Panel Leasing",'Key_Assumptions_&amp;_Inputs'!$E$12*12*'Key_Assumptions_&amp;_Inputs'!$E$22*(1+'Key_Assumptions_&amp;_Inputs'!$E$61)^(K114-1),0))-IF(AND('Key_Assumptions_&amp;_Inputs'!$E$11="Panel Purchasing",Community_Solar_Business_Case!K114=1),'Key_Assumptions_&amp;_Inputs'!$E$12*'Key_Assumptions_&amp;_Inputs'!$E$22,0)</f>
        <v>-331.2</v>
      </c>
      <c r="L117" s="219">
        <f>IF(L114=0,0,-IF('Key_Assumptions_&amp;_Inputs'!$E$11="Panel Leasing",'Key_Assumptions_&amp;_Inputs'!$E$12*12*'Key_Assumptions_&amp;_Inputs'!$E$22*(1+'Key_Assumptions_&amp;_Inputs'!$E$61)^(L114-1),0))-IF(AND('Key_Assumptions_&amp;_Inputs'!$E$11="Panel Purchasing",Community_Solar_Business_Case!L114=1),'Key_Assumptions_&amp;_Inputs'!$E$12*'Key_Assumptions_&amp;_Inputs'!$E$22,0)</f>
        <v>-331.2</v>
      </c>
      <c r="M117" s="219">
        <f>IF(M114=0,0,-IF('Key_Assumptions_&amp;_Inputs'!$E$11="Panel Leasing",'Key_Assumptions_&amp;_Inputs'!$E$12*12*'Key_Assumptions_&amp;_Inputs'!$E$22*(1+'Key_Assumptions_&amp;_Inputs'!$E$61)^(M114-1),0))-IF(AND('Key_Assumptions_&amp;_Inputs'!$E$11="Panel Purchasing",Community_Solar_Business_Case!M114=1),'Key_Assumptions_&amp;_Inputs'!$E$12*'Key_Assumptions_&amp;_Inputs'!$E$22,0)</f>
        <v>-331.2</v>
      </c>
      <c r="N117" s="219">
        <f>IF(N114=0,0,-IF('Key_Assumptions_&amp;_Inputs'!$E$11="Panel Leasing",'Key_Assumptions_&amp;_Inputs'!$E$12*12*'Key_Assumptions_&amp;_Inputs'!$E$22*(1+'Key_Assumptions_&amp;_Inputs'!$E$61)^(N114-1),0))-IF(AND('Key_Assumptions_&amp;_Inputs'!$E$11="Panel Purchasing",Community_Solar_Business_Case!N114=1),'Key_Assumptions_&amp;_Inputs'!$E$12*'Key_Assumptions_&amp;_Inputs'!$E$22,0)</f>
        <v>-331.2</v>
      </c>
      <c r="O117" s="219">
        <f>IF(O114=0,0,-IF('Key_Assumptions_&amp;_Inputs'!$E$11="Panel Leasing",'Key_Assumptions_&amp;_Inputs'!$E$12*12*'Key_Assumptions_&amp;_Inputs'!$E$22*(1+'Key_Assumptions_&amp;_Inputs'!$E$61)^(O114-1),0))-IF(AND('Key_Assumptions_&amp;_Inputs'!$E$11="Panel Purchasing",Community_Solar_Business_Case!O114=1),'Key_Assumptions_&amp;_Inputs'!$E$12*'Key_Assumptions_&amp;_Inputs'!$E$22,0)</f>
        <v>-331.2</v>
      </c>
      <c r="P117" s="219">
        <f>IF(P114=0,0,-IF('Key_Assumptions_&amp;_Inputs'!$E$11="Panel Leasing",'Key_Assumptions_&amp;_Inputs'!$E$12*12*'Key_Assumptions_&amp;_Inputs'!$E$22*(1+'Key_Assumptions_&amp;_Inputs'!$E$61)^(P114-1),0))-IF(AND('Key_Assumptions_&amp;_Inputs'!$E$11="Panel Purchasing",Community_Solar_Business_Case!P114=1),'Key_Assumptions_&amp;_Inputs'!$E$12*'Key_Assumptions_&amp;_Inputs'!$E$22,0)</f>
        <v>-331.2</v>
      </c>
      <c r="Q117" s="219">
        <f>IF(Q114=0,0,-IF('Key_Assumptions_&amp;_Inputs'!$E$11="Panel Leasing",'Key_Assumptions_&amp;_Inputs'!$E$12*12*'Key_Assumptions_&amp;_Inputs'!$E$22*(1+'Key_Assumptions_&amp;_Inputs'!$E$61)^(Q114-1),0))-IF(AND('Key_Assumptions_&amp;_Inputs'!$E$11="Panel Purchasing",Community_Solar_Business_Case!Q114=1),'Key_Assumptions_&amp;_Inputs'!$E$12*'Key_Assumptions_&amp;_Inputs'!$E$22,0)</f>
        <v>-331.2</v>
      </c>
      <c r="R117" s="219">
        <f>IF(R114=0,0,-IF('Key_Assumptions_&amp;_Inputs'!$E$11="Panel Leasing",'Key_Assumptions_&amp;_Inputs'!$E$12*12*'Key_Assumptions_&amp;_Inputs'!$E$22*(1+'Key_Assumptions_&amp;_Inputs'!$E$61)^(R114-1),0))-IF(AND('Key_Assumptions_&amp;_Inputs'!$E$11="Panel Purchasing",Community_Solar_Business_Case!R114=1),'Key_Assumptions_&amp;_Inputs'!$E$12*'Key_Assumptions_&amp;_Inputs'!$E$22,0)</f>
        <v>-331.2</v>
      </c>
      <c r="S117" s="219">
        <f>IF(S114=0,0,-IF('Key_Assumptions_&amp;_Inputs'!$E$11="Panel Leasing",'Key_Assumptions_&amp;_Inputs'!$E$12*12*'Key_Assumptions_&amp;_Inputs'!$E$22*(1+'Key_Assumptions_&amp;_Inputs'!$E$61)^(S114-1),0))-IF(AND('Key_Assumptions_&amp;_Inputs'!$E$11="Panel Purchasing",Community_Solar_Business_Case!S114=1),'Key_Assumptions_&amp;_Inputs'!$E$12*'Key_Assumptions_&amp;_Inputs'!$E$22,0)</f>
        <v>-331.2</v>
      </c>
      <c r="T117" s="219">
        <f>IF(T114=0,0,-IF('Key_Assumptions_&amp;_Inputs'!$E$11="Panel Leasing",'Key_Assumptions_&amp;_Inputs'!$E$12*12*'Key_Assumptions_&amp;_Inputs'!$E$22*(1+'Key_Assumptions_&amp;_Inputs'!$E$61)^(T114-1),0))-IF(AND('Key_Assumptions_&amp;_Inputs'!$E$11="Panel Purchasing",Community_Solar_Business_Case!T114=1),'Key_Assumptions_&amp;_Inputs'!$E$12*'Key_Assumptions_&amp;_Inputs'!$E$22,0)</f>
        <v>-331.2</v>
      </c>
      <c r="U117" s="219">
        <f>IF(U114=0,0,-IF('Key_Assumptions_&amp;_Inputs'!$E$11="Panel Leasing",'Key_Assumptions_&amp;_Inputs'!$E$12*12*'Key_Assumptions_&amp;_Inputs'!$E$22*(1+'Key_Assumptions_&amp;_Inputs'!$E$61)^(U114-1),0))-IF(AND('Key_Assumptions_&amp;_Inputs'!$E$11="Panel Purchasing",Community_Solar_Business_Case!U114=1),'Key_Assumptions_&amp;_Inputs'!$E$12*'Key_Assumptions_&amp;_Inputs'!$E$22,0)</f>
        <v>-331.2</v>
      </c>
      <c r="V117" s="219">
        <f>IF(V114=0,0,-IF('Key_Assumptions_&amp;_Inputs'!$E$11="Panel Leasing",'Key_Assumptions_&amp;_Inputs'!$E$12*12*'Key_Assumptions_&amp;_Inputs'!$E$22*(1+'Key_Assumptions_&amp;_Inputs'!$E$61)^(V114-1),0))-IF(AND('Key_Assumptions_&amp;_Inputs'!$E$11="Panel Purchasing",Community_Solar_Business_Case!V114=1),'Key_Assumptions_&amp;_Inputs'!$E$12*'Key_Assumptions_&amp;_Inputs'!$E$22,0)</f>
        <v>-331.2</v>
      </c>
      <c r="W117" s="219">
        <f>IF(W114=0,0,-IF('Key_Assumptions_&amp;_Inputs'!$E$11="Panel Leasing",'Key_Assumptions_&amp;_Inputs'!$E$12*12*'Key_Assumptions_&amp;_Inputs'!$E$22*(1+'Key_Assumptions_&amp;_Inputs'!$E$61)^(W114-1),0))-IF(AND('Key_Assumptions_&amp;_Inputs'!$E$11="Panel Purchasing",Community_Solar_Business_Case!W114=1),'Key_Assumptions_&amp;_Inputs'!$E$12*'Key_Assumptions_&amp;_Inputs'!$E$22,0)</f>
        <v>-331.2</v>
      </c>
      <c r="X117" s="219">
        <f>IF(X114=0,0,-IF('Key_Assumptions_&amp;_Inputs'!$E$11="Panel Leasing",'Key_Assumptions_&amp;_Inputs'!$E$12*12*'Key_Assumptions_&amp;_Inputs'!$E$22*(1+'Key_Assumptions_&amp;_Inputs'!$E$61)^(X114-1),0))-IF(AND('Key_Assumptions_&amp;_Inputs'!$E$11="Panel Purchasing",Community_Solar_Business_Case!X114=1),'Key_Assumptions_&amp;_Inputs'!$E$12*'Key_Assumptions_&amp;_Inputs'!$E$22,0)</f>
        <v>-331.2</v>
      </c>
      <c r="Y117" s="219">
        <f>IF(Y114=0,0,-IF('Key_Assumptions_&amp;_Inputs'!$E$11="Panel Leasing",'Key_Assumptions_&amp;_Inputs'!$E$12*12*'Key_Assumptions_&amp;_Inputs'!$E$22*(1+'Key_Assumptions_&amp;_Inputs'!$E$61)^(Y114-1),0))-IF(AND('Key_Assumptions_&amp;_Inputs'!$E$11="Panel Purchasing",Community_Solar_Business_Case!Y114=1),'Key_Assumptions_&amp;_Inputs'!$E$12*'Key_Assumptions_&amp;_Inputs'!$E$22,0)</f>
        <v>-331.2</v>
      </c>
      <c r="Z117" s="219">
        <f>IF(Z114=0,0,-IF('Key_Assumptions_&amp;_Inputs'!$E$11="Panel Leasing",'Key_Assumptions_&amp;_Inputs'!$E$12*12*'Key_Assumptions_&amp;_Inputs'!$E$22*(1+'Key_Assumptions_&amp;_Inputs'!$E$61)^(Z114-1),0))-IF(AND('Key_Assumptions_&amp;_Inputs'!$E$11="Panel Purchasing",Community_Solar_Business_Case!Z114=1),'Key_Assumptions_&amp;_Inputs'!$E$12*'Key_Assumptions_&amp;_Inputs'!$E$22,0)</f>
        <v>-331.2</v>
      </c>
      <c r="AA117" s="219">
        <f>IF(AA114=0,0,-IF('Key_Assumptions_&amp;_Inputs'!$E$11="Panel Leasing",'Key_Assumptions_&amp;_Inputs'!$E$12*12*'Key_Assumptions_&amp;_Inputs'!$E$22*(1+'Key_Assumptions_&amp;_Inputs'!$E$61)^(AA114-1),0))-IF(AND('Key_Assumptions_&amp;_Inputs'!$E$11="Panel Purchasing",Community_Solar_Business_Case!AA114=1),'Key_Assumptions_&amp;_Inputs'!$E$12*'Key_Assumptions_&amp;_Inputs'!$E$22,0)</f>
        <v>-331.2</v>
      </c>
      <c r="AB117" s="219">
        <f>IF(AB114=0,0,-IF('Key_Assumptions_&amp;_Inputs'!$E$11="Panel Leasing",'Key_Assumptions_&amp;_Inputs'!$E$12*12*'Key_Assumptions_&amp;_Inputs'!$E$22*(1+'Key_Assumptions_&amp;_Inputs'!$E$61)^(AB114-1),0))-IF(AND('Key_Assumptions_&amp;_Inputs'!$E$11="Panel Purchasing",Community_Solar_Business_Case!AB114=1),'Key_Assumptions_&amp;_Inputs'!$E$12*'Key_Assumptions_&amp;_Inputs'!$E$22,0)</f>
        <v>-331.2</v>
      </c>
      <c r="AC117" s="219">
        <f>IF(AC114=0,0,-IF('Key_Assumptions_&amp;_Inputs'!$E$11="Panel Leasing",'Key_Assumptions_&amp;_Inputs'!$E$12*12*'Key_Assumptions_&amp;_Inputs'!$E$22*(1+'Key_Assumptions_&amp;_Inputs'!$E$61)^(AC114-1),0))-IF(AND('Key_Assumptions_&amp;_Inputs'!$E$11="Panel Purchasing",Community_Solar_Business_Case!AC114=1),'Key_Assumptions_&amp;_Inputs'!$E$12*'Key_Assumptions_&amp;_Inputs'!$E$22,0)</f>
        <v>-331.2</v>
      </c>
      <c r="AD117" s="219">
        <f>IF(AD114=0,0,-IF('Key_Assumptions_&amp;_Inputs'!$E$11="Panel Leasing",'Key_Assumptions_&amp;_Inputs'!$E$12*12*'Key_Assumptions_&amp;_Inputs'!$E$22*(1+'Key_Assumptions_&amp;_Inputs'!$E$61)^(AD114-1),0))-IF(AND('Key_Assumptions_&amp;_Inputs'!$E$11="Panel Purchasing",Community_Solar_Business_Case!AD114=1),'Key_Assumptions_&amp;_Inputs'!$E$12*'Key_Assumptions_&amp;_Inputs'!$E$22,0)</f>
        <v>-331.2</v>
      </c>
      <c r="AE117" s="220">
        <f>SUM(E117:AD117)</f>
        <v>-8279.9999999999982</v>
      </c>
    </row>
    <row r="118" spans="2:31" x14ac:dyDescent="0.25">
      <c r="B118" s="132" t="s">
        <v>33</v>
      </c>
      <c r="C118" s="133"/>
      <c r="D118" s="89" t="s">
        <v>0</v>
      </c>
      <c r="E118" s="173">
        <f>SUM(E117:E117)</f>
        <v>0</v>
      </c>
      <c r="F118" s="173">
        <f t="shared" ref="F118:H118" si="66">SUM(F117:F117)</f>
        <v>-331.2</v>
      </c>
      <c r="G118" s="173">
        <f t="shared" si="66"/>
        <v>-331.2</v>
      </c>
      <c r="H118" s="173">
        <f t="shared" si="66"/>
        <v>-331.2</v>
      </c>
      <c r="I118" s="173">
        <f t="shared" ref="I118" si="67">SUM(I117:I117)</f>
        <v>-331.2</v>
      </c>
      <c r="J118" s="173">
        <f t="shared" ref="J118" si="68">SUM(J117:J117)</f>
        <v>-331.2</v>
      </c>
      <c r="K118" s="173">
        <f t="shared" ref="K118" si="69">SUM(K117:K117)</f>
        <v>-331.2</v>
      </c>
      <c r="L118" s="173">
        <f t="shared" ref="L118" si="70">SUM(L117:L117)</f>
        <v>-331.2</v>
      </c>
      <c r="M118" s="173">
        <f t="shared" ref="M118" si="71">SUM(M117:M117)</f>
        <v>-331.2</v>
      </c>
      <c r="N118" s="173">
        <f t="shared" ref="N118" si="72">SUM(N117:N117)</f>
        <v>-331.2</v>
      </c>
      <c r="O118" s="173">
        <f t="shared" ref="O118" si="73">SUM(O117:O117)</f>
        <v>-331.2</v>
      </c>
      <c r="P118" s="173">
        <f t="shared" ref="P118" si="74">SUM(P117:P117)</f>
        <v>-331.2</v>
      </c>
      <c r="Q118" s="173">
        <f t="shared" ref="Q118" si="75">SUM(Q117:Q117)</f>
        <v>-331.2</v>
      </c>
      <c r="R118" s="173">
        <f t="shared" ref="R118" si="76">SUM(R117:R117)</f>
        <v>-331.2</v>
      </c>
      <c r="S118" s="173">
        <f t="shared" ref="S118" si="77">SUM(S117:S117)</f>
        <v>-331.2</v>
      </c>
      <c r="T118" s="173">
        <f t="shared" ref="T118" si="78">SUM(T117:T117)</f>
        <v>-331.2</v>
      </c>
      <c r="U118" s="173">
        <f t="shared" ref="U118" si="79">SUM(U117:U117)</f>
        <v>-331.2</v>
      </c>
      <c r="V118" s="173">
        <f t="shared" ref="V118" si="80">SUM(V117:V117)</f>
        <v>-331.2</v>
      </c>
      <c r="W118" s="173">
        <f t="shared" ref="W118" si="81">SUM(W117:W117)</f>
        <v>-331.2</v>
      </c>
      <c r="X118" s="173">
        <f t="shared" ref="X118" si="82">SUM(X117:X117)</f>
        <v>-331.2</v>
      </c>
      <c r="Y118" s="173">
        <f t="shared" ref="Y118" si="83">SUM(Y117:Y117)</f>
        <v>-331.2</v>
      </c>
      <c r="Z118" s="173">
        <f t="shared" ref="Z118" si="84">SUM(Z117:Z117)</f>
        <v>-331.2</v>
      </c>
      <c r="AA118" s="173">
        <f t="shared" ref="AA118" si="85">SUM(AA117:AA117)</f>
        <v>-331.2</v>
      </c>
      <c r="AB118" s="173">
        <f t="shared" ref="AB118" si="86">SUM(AB117:AB117)</f>
        <v>-331.2</v>
      </c>
      <c r="AC118" s="173">
        <f t="shared" ref="AC118" si="87">SUM(AC117:AC117)</f>
        <v>-331.2</v>
      </c>
      <c r="AD118" s="186">
        <f t="shared" ref="AD118" si="88">SUM(AD117:AD117)</f>
        <v>-331.2</v>
      </c>
      <c r="AE118" s="221">
        <f t="shared" ref="AE118:AE129" si="89">SUM(E118:AD118)</f>
        <v>-8279.9999999999982</v>
      </c>
    </row>
    <row r="119" spans="2:31" x14ac:dyDescent="0.25">
      <c r="B119" s="132"/>
      <c r="C119" s="133"/>
      <c r="D119" s="89"/>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86"/>
      <c r="AE119" s="221"/>
    </row>
    <row r="120" spans="2:31" x14ac:dyDescent="0.25">
      <c r="B120" s="134" t="s">
        <v>118</v>
      </c>
      <c r="C120" s="133"/>
      <c r="D120" s="89"/>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86"/>
      <c r="AE120" s="221"/>
    </row>
    <row r="121" spans="2:31" x14ac:dyDescent="0.25">
      <c r="B121" s="137" t="s">
        <v>201</v>
      </c>
      <c r="C121" s="133"/>
      <c r="D121" s="89" t="s">
        <v>0</v>
      </c>
      <c r="E121" s="173">
        <f>IF(AND('Key_Assumptions_&amp;_Inputs'!$E$11="Panel Purchasing",Community_Solar_Business_Case!E114=1),-Community_Solar_Business_Case!$F$118*'Key_Assumptions_&amp;_Inputs'!$E$73,0)</f>
        <v>0</v>
      </c>
      <c r="F121" s="173">
        <f>IF(AND('Key_Assumptions_&amp;_Inputs'!$E$11="Panel Purchasing",Community_Solar_Business_Case!F114=1),-Community_Solar_Business_Case!$F$118*'Key_Assumptions_&amp;_Inputs'!$E$73,0)</f>
        <v>0</v>
      </c>
      <c r="G121" s="173">
        <f>IF(AND('Key_Assumptions_&amp;_Inputs'!$E$11="Panel Purchasing",Community_Solar_Business_Case!G114=1),-Community_Solar_Business_Case!$F$118*'Key_Assumptions_&amp;_Inputs'!$E$73,0)</f>
        <v>0</v>
      </c>
      <c r="H121" s="173">
        <f>IF(AND('Key_Assumptions_&amp;_Inputs'!$E$11="Panel Purchasing",Community_Solar_Business_Case!H114=1),-Community_Solar_Business_Case!$F$118*'Key_Assumptions_&amp;_Inputs'!$E$73,0)</f>
        <v>0</v>
      </c>
      <c r="I121" s="173">
        <f>IF(AND('Key_Assumptions_&amp;_Inputs'!$E$11="Panel Purchasing",Community_Solar_Business_Case!I114=1),-Community_Solar_Business_Case!$F$118*'Key_Assumptions_&amp;_Inputs'!$E$73,0)</f>
        <v>0</v>
      </c>
      <c r="J121" s="173">
        <f>IF(AND('Key_Assumptions_&amp;_Inputs'!$E$11="Panel Purchasing",Community_Solar_Business_Case!J114=1),-Community_Solar_Business_Case!$F$118*'Key_Assumptions_&amp;_Inputs'!$E$73,0)</f>
        <v>0</v>
      </c>
      <c r="K121" s="173">
        <f>IF(AND('Key_Assumptions_&amp;_Inputs'!$E$11="Panel Purchasing",Community_Solar_Business_Case!K114=1),-Community_Solar_Business_Case!$F$118*'Key_Assumptions_&amp;_Inputs'!$E$73,0)</f>
        <v>0</v>
      </c>
      <c r="L121" s="173">
        <f>IF(AND('Key_Assumptions_&amp;_Inputs'!$E$11="Panel Purchasing",Community_Solar_Business_Case!L114=1),-Community_Solar_Business_Case!$F$118*'Key_Assumptions_&amp;_Inputs'!$E$73,0)</f>
        <v>0</v>
      </c>
      <c r="M121" s="173">
        <f>IF(AND('Key_Assumptions_&amp;_Inputs'!$E$11="Panel Purchasing",Community_Solar_Business_Case!M114=1),-Community_Solar_Business_Case!$F$118*'Key_Assumptions_&amp;_Inputs'!$E$73,0)</f>
        <v>0</v>
      </c>
      <c r="N121" s="173">
        <f>IF(AND('Key_Assumptions_&amp;_Inputs'!$E$11="Panel Purchasing",Community_Solar_Business_Case!N114=1),-Community_Solar_Business_Case!$F$118*'Key_Assumptions_&amp;_Inputs'!$E$73,0)</f>
        <v>0</v>
      </c>
      <c r="O121" s="173">
        <f>IF(AND('Key_Assumptions_&amp;_Inputs'!$E$11="Panel Purchasing",Community_Solar_Business_Case!O114=1),-Community_Solar_Business_Case!$F$118*'Key_Assumptions_&amp;_Inputs'!$E$73,0)</f>
        <v>0</v>
      </c>
      <c r="P121" s="173">
        <f>IF(AND('Key_Assumptions_&amp;_Inputs'!$E$11="Panel Purchasing",Community_Solar_Business_Case!P114=1),-Community_Solar_Business_Case!$F$118*'Key_Assumptions_&amp;_Inputs'!$E$73,0)</f>
        <v>0</v>
      </c>
      <c r="Q121" s="173">
        <f>IF(AND('Key_Assumptions_&amp;_Inputs'!$E$11="Panel Purchasing",Community_Solar_Business_Case!Q114=1),-Community_Solar_Business_Case!$F$118*'Key_Assumptions_&amp;_Inputs'!$E$73,0)</f>
        <v>0</v>
      </c>
      <c r="R121" s="173">
        <f>IF(AND('Key_Assumptions_&amp;_Inputs'!$E$11="Panel Purchasing",Community_Solar_Business_Case!R114=1),-Community_Solar_Business_Case!$F$118*'Key_Assumptions_&amp;_Inputs'!$E$73,0)</f>
        <v>0</v>
      </c>
      <c r="S121" s="173">
        <f>IF(AND('Key_Assumptions_&amp;_Inputs'!$E$11="Panel Purchasing",Community_Solar_Business_Case!S114=1),-Community_Solar_Business_Case!$F$118*'Key_Assumptions_&amp;_Inputs'!$E$73,0)</f>
        <v>0</v>
      </c>
      <c r="T121" s="173">
        <f>IF(AND('Key_Assumptions_&amp;_Inputs'!$E$11="Panel Purchasing",Community_Solar_Business_Case!T114=1),-Community_Solar_Business_Case!$F$118*'Key_Assumptions_&amp;_Inputs'!$E$73,0)</f>
        <v>0</v>
      </c>
      <c r="U121" s="173">
        <f>IF(AND('Key_Assumptions_&amp;_Inputs'!$E$11="Panel Purchasing",Community_Solar_Business_Case!U114=1),-Community_Solar_Business_Case!$F$118*'Key_Assumptions_&amp;_Inputs'!$E$73,0)</f>
        <v>0</v>
      </c>
      <c r="V121" s="173">
        <f>IF(AND('Key_Assumptions_&amp;_Inputs'!$E$11="Panel Purchasing",Community_Solar_Business_Case!V114=1),-Community_Solar_Business_Case!$F$118*'Key_Assumptions_&amp;_Inputs'!$E$73,0)</f>
        <v>0</v>
      </c>
      <c r="W121" s="173">
        <f>IF(AND('Key_Assumptions_&amp;_Inputs'!$E$11="Panel Purchasing",Community_Solar_Business_Case!W114=1),-Community_Solar_Business_Case!$F$118*'Key_Assumptions_&amp;_Inputs'!$E$73,0)</f>
        <v>0</v>
      </c>
      <c r="X121" s="173">
        <f>IF(AND('Key_Assumptions_&amp;_Inputs'!$E$11="Panel Purchasing",Community_Solar_Business_Case!X114=1),-Community_Solar_Business_Case!$F$118*'Key_Assumptions_&amp;_Inputs'!$E$73,0)</f>
        <v>0</v>
      </c>
      <c r="Y121" s="173">
        <f>IF(AND('Key_Assumptions_&amp;_Inputs'!$E$11="Panel Purchasing",Community_Solar_Business_Case!Y114=1),-Community_Solar_Business_Case!$F$118*'Key_Assumptions_&amp;_Inputs'!$E$73,0)</f>
        <v>0</v>
      </c>
      <c r="Z121" s="173">
        <f>IF(AND('Key_Assumptions_&amp;_Inputs'!$E$11="Panel Purchasing",Community_Solar_Business_Case!Z114=1),-Community_Solar_Business_Case!$F$118*'Key_Assumptions_&amp;_Inputs'!$E$73,0)</f>
        <v>0</v>
      </c>
      <c r="AA121" s="173">
        <f>IF(AND('Key_Assumptions_&amp;_Inputs'!$E$11="Panel Purchasing",Community_Solar_Business_Case!AA114=1),-Community_Solar_Business_Case!$F$118*'Key_Assumptions_&amp;_Inputs'!$E$73,0)</f>
        <v>0</v>
      </c>
      <c r="AB121" s="173">
        <f>IF(AND('Key_Assumptions_&amp;_Inputs'!$E$11="Panel Purchasing",Community_Solar_Business_Case!AB114=1),-Community_Solar_Business_Case!$F$118*'Key_Assumptions_&amp;_Inputs'!$E$73,0)</f>
        <v>0</v>
      </c>
      <c r="AC121" s="173">
        <f>IF(AND('Key_Assumptions_&amp;_Inputs'!$E$11="Panel Purchasing",Community_Solar_Business_Case!AC114=1),-Community_Solar_Business_Case!$F$118*'Key_Assumptions_&amp;_Inputs'!$E$73,0)</f>
        <v>0</v>
      </c>
      <c r="AD121" s="186">
        <f>IF(AND('Key_Assumptions_&amp;_Inputs'!$E$11="Panel Purchasing",Community_Solar_Business_Case!AD114=1),-Community_Solar_Business_Case!$F$118*'Key_Assumptions_&amp;_Inputs'!$E$73,0)</f>
        <v>0</v>
      </c>
      <c r="AE121" s="221">
        <f t="shared" si="89"/>
        <v>0</v>
      </c>
    </row>
    <row r="122" spans="2:31" x14ac:dyDescent="0.25">
      <c r="B122" s="138" t="s">
        <v>204</v>
      </c>
      <c r="C122" s="139"/>
      <c r="D122" s="93" t="s">
        <v>0</v>
      </c>
      <c r="E122" s="222">
        <v>0</v>
      </c>
      <c r="F122" s="222">
        <f>-IF('Key_Assumptions_&amp;_Inputs'!$E$11="Panel Leasing",0,IF(F114=0,0,IF(F114=1,0,IF(F114&lt;=('Key_Assumptions_&amp;_Inputs'!$E$75+1),-PMT('Key_Assumptions_&amp;_Inputs'!$E$74/12,'Key_Assumptions_&amp;_Inputs'!$E$75*12,$F$121),0))*12))</f>
        <v>0</v>
      </c>
      <c r="G122" s="222">
        <f>-IF('Key_Assumptions_&amp;_Inputs'!$E$11="Panel Leasing",0,IF(G114=0,0,IF(G114=1,0,IF(G114&lt;=('Key_Assumptions_&amp;_Inputs'!$E$75+1),-PMT('Key_Assumptions_&amp;_Inputs'!$E$74/12,'Key_Assumptions_&amp;_Inputs'!$E$75*12,$F$121),0))*12))</f>
        <v>0</v>
      </c>
      <c r="H122" s="222">
        <f>-IF('Key_Assumptions_&amp;_Inputs'!$E$11="Panel Leasing",0,IF(H114=0,0,IF(H114=1,0,IF(H114&lt;=('Key_Assumptions_&amp;_Inputs'!$E$75+1),-PMT('Key_Assumptions_&amp;_Inputs'!$E$74/12,'Key_Assumptions_&amp;_Inputs'!$E$75*12,$F$121),0))*12))</f>
        <v>0</v>
      </c>
      <c r="I122" s="222">
        <f>-IF('Key_Assumptions_&amp;_Inputs'!$E$11="Panel Leasing",0,IF(I114=0,0,IF(I114=1,0,IF(I114&lt;=('Key_Assumptions_&amp;_Inputs'!$E$75+1),-PMT('Key_Assumptions_&amp;_Inputs'!$E$74/12,'Key_Assumptions_&amp;_Inputs'!$E$75*12,$F$121),0))*12))</f>
        <v>0</v>
      </c>
      <c r="J122" s="222">
        <f>-IF('Key_Assumptions_&amp;_Inputs'!$E$11="Panel Leasing",0,IF(J114=0,0,IF(J114=1,0,IF(J114&lt;=('Key_Assumptions_&amp;_Inputs'!$E$75+1),-PMT('Key_Assumptions_&amp;_Inputs'!$E$74/12,'Key_Assumptions_&amp;_Inputs'!$E$75*12,$F$121),0))*12))</f>
        <v>0</v>
      </c>
      <c r="K122" s="222">
        <f>-IF('Key_Assumptions_&amp;_Inputs'!$E$11="Panel Leasing",0,IF(K114=0,0,IF(K114=1,0,IF(K114&lt;=('Key_Assumptions_&amp;_Inputs'!$E$75+1),-PMT('Key_Assumptions_&amp;_Inputs'!$E$74/12,'Key_Assumptions_&amp;_Inputs'!$E$75*12,$F$121),0))*12))</f>
        <v>0</v>
      </c>
      <c r="L122" s="222">
        <f>-IF('Key_Assumptions_&amp;_Inputs'!$E$11="Panel Leasing",0,IF(L114=0,0,IF(L114=1,0,IF(L114&lt;=('Key_Assumptions_&amp;_Inputs'!$E$75+1),-PMT('Key_Assumptions_&amp;_Inputs'!$E$74/12,'Key_Assumptions_&amp;_Inputs'!$E$75*12,$F$121),0))*12))</f>
        <v>0</v>
      </c>
      <c r="M122" s="222">
        <f>-IF('Key_Assumptions_&amp;_Inputs'!$E$11="Panel Leasing",0,IF(M114=0,0,IF(M114=1,0,IF(M114&lt;=('Key_Assumptions_&amp;_Inputs'!$E$75+1),-PMT('Key_Assumptions_&amp;_Inputs'!$E$74/12,'Key_Assumptions_&amp;_Inputs'!$E$75*12,$F$121),0))*12))</f>
        <v>0</v>
      </c>
      <c r="N122" s="222">
        <f>-IF('Key_Assumptions_&amp;_Inputs'!$E$11="Panel Leasing",0,IF(N114=0,0,IF(N114=1,0,IF(N114&lt;=('Key_Assumptions_&amp;_Inputs'!$E$75+1),-PMT('Key_Assumptions_&amp;_Inputs'!$E$74/12,'Key_Assumptions_&amp;_Inputs'!$E$75*12,$F$121),0))*12))</f>
        <v>0</v>
      </c>
      <c r="O122" s="222">
        <f>-IF('Key_Assumptions_&amp;_Inputs'!$E$11="Panel Leasing",0,IF(O114=0,0,IF(O114=1,0,IF(O114&lt;=('Key_Assumptions_&amp;_Inputs'!$E$75+1),-PMT('Key_Assumptions_&amp;_Inputs'!$E$74/12,'Key_Assumptions_&amp;_Inputs'!$E$75*12,$F$121),0))*12))</f>
        <v>0</v>
      </c>
      <c r="P122" s="222">
        <f>-IF('Key_Assumptions_&amp;_Inputs'!$E$11="Panel Leasing",0,IF(P114=0,0,IF(P114=1,0,IF(P114&lt;=('Key_Assumptions_&amp;_Inputs'!$E$75+1),-PMT('Key_Assumptions_&amp;_Inputs'!$E$74/12,'Key_Assumptions_&amp;_Inputs'!$E$75*12,$F$121),0))*12))</f>
        <v>0</v>
      </c>
      <c r="Q122" s="222">
        <f>-IF('Key_Assumptions_&amp;_Inputs'!$E$11="Panel Leasing",0,IF(Q114=0,0,IF(Q114=1,0,IF(Q114&lt;=('Key_Assumptions_&amp;_Inputs'!$E$75+1),-PMT('Key_Assumptions_&amp;_Inputs'!$E$74/12,'Key_Assumptions_&amp;_Inputs'!$E$75*12,$F$121),0))*12))</f>
        <v>0</v>
      </c>
      <c r="R122" s="222">
        <f>-IF('Key_Assumptions_&amp;_Inputs'!$E$11="Panel Leasing",0,IF(R114=0,0,IF(R114=1,0,IF(R114&lt;=('Key_Assumptions_&amp;_Inputs'!$E$75+1),-PMT('Key_Assumptions_&amp;_Inputs'!$E$74/12,'Key_Assumptions_&amp;_Inputs'!$E$75*12,$F$121),0))*12))</f>
        <v>0</v>
      </c>
      <c r="S122" s="222">
        <f>-IF('Key_Assumptions_&amp;_Inputs'!$E$11="Panel Leasing",0,IF(S114=0,0,IF(S114=1,0,IF(S114&lt;=('Key_Assumptions_&amp;_Inputs'!$E$75+1),-PMT('Key_Assumptions_&amp;_Inputs'!$E$74/12,'Key_Assumptions_&amp;_Inputs'!$E$75*12,$F$121),0))*12))</f>
        <v>0</v>
      </c>
      <c r="T122" s="222">
        <f>-IF('Key_Assumptions_&amp;_Inputs'!$E$11="Panel Leasing",0,IF(T114=0,0,IF(T114=1,0,IF(T114&lt;=('Key_Assumptions_&amp;_Inputs'!$E$75+1),-PMT('Key_Assumptions_&amp;_Inputs'!$E$74/12,'Key_Assumptions_&amp;_Inputs'!$E$75*12,$F$121),0))*12))</f>
        <v>0</v>
      </c>
      <c r="U122" s="222">
        <f>-IF('Key_Assumptions_&amp;_Inputs'!$E$11="Panel Leasing",0,IF(U114=0,0,IF(U114=1,0,IF(U114&lt;=('Key_Assumptions_&amp;_Inputs'!$E$75+1),-PMT('Key_Assumptions_&amp;_Inputs'!$E$74/12,'Key_Assumptions_&amp;_Inputs'!$E$75*12,$F$121),0))*12))</f>
        <v>0</v>
      </c>
      <c r="V122" s="222">
        <f>-IF('Key_Assumptions_&amp;_Inputs'!$E$11="Panel Leasing",0,IF(V114=0,0,IF(V114=1,0,IF(V114&lt;=('Key_Assumptions_&amp;_Inputs'!$E$75+1),-PMT('Key_Assumptions_&amp;_Inputs'!$E$74/12,'Key_Assumptions_&amp;_Inputs'!$E$75*12,$F$121),0))*12))</f>
        <v>0</v>
      </c>
      <c r="W122" s="222">
        <f>-IF('Key_Assumptions_&amp;_Inputs'!$E$11="Panel Leasing",0,IF(W114=0,0,IF(W114=1,0,IF(W114&lt;=('Key_Assumptions_&amp;_Inputs'!$E$75+1),-PMT('Key_Assumptions_&amp;_Inputs'!$E$74/12,'Key_Assumptions_&amp;_Inputs'!$E$75*12,$F$121),0))*12))</f>
        <v>0</v>
      </c>
      <c r="X122" s="222">
        <f>-IF('Key_Assumptions_&amp;_Inputs'!$E$11="Panel Leasing",0,IF(X114=0,0,IF(X114=1,0,IF(X114&lt;=('Key_Assumptions_&amp;_Inputs'!$E$75+1),-PMT('Key_Assumptions_&amp;_Inputs'!$E$74/12,'Key_Assumptions_&amp;_Inputs'!$E$75*12,$F$121),0))*12))</f>
        <v>0</v>
      </c>
      <c r="Y122" s="222">
        <f>-IF('Key_Assumptions_&amp;_Inputs'!$E$11="Panel Leasing",0,IF(Y114=0,0,IF(Y114=1,0,IF(Y114&lt;=('Key_Assumptions_&amp;_Inputs'!$E$75+1),-PMT('Key_Assumptions_&amp;_Inputs'!$E$74/12,'Key_Assumptions_&amp;_Inputs'!$E$75*12,$F$121),0))*12))</f>
        <v>0</v>
      </c>
      <c r="Z122" s="222">
        <f>-IF('Key_Assumptions_&amp;_Inputs'!$E$11="Panel Leasing",0,IF(Z114=0,0,IF(Z114=1,0,IF(Z114&lt;=('Key_Assumptions_&amp;_Inputs'!$E$75+1),-PMT('Key_Assumptions_&amp;_Inputs'!$E$74/12,'Key_Assumptions_&amp;_Inputs'!$E$75*12,$F$121),0))*12))</f>
        <v>0</v>
      </c>
      <c r="AA122" s="222">
        <f>-IF('Key_Assumptions_&amp;_Inputs'!$E$11="Panel Leasing",0,IF(AA114=0,0,IF(AA114=1,0,IF(AA114&lt;=('Key_Assumptions_&amp;_Inputs'!$E$75+1),-PMT('Key_Assumptions_&amp;_Inputs'!$E$74/12,'Key_Assumptions_&amp;_Inputs'!$E$75*12,$F$121),0))*12))</f>
        <v>0</v>
      </c>
      <c r="AB122" s="222">
        <f>-IF('Key_Assumptions_&amp;_Inputs'!$E$11="Panel Leasing",0,IF(AB114=0,0,IF(AB114=1,0,IF(AB114&lt;=('Key_Assumptions_&amp;_Inputs'!$E$75+1),-PMT('Key_Assumptions_&amp;_Inputs'!$E$74/12,'Key_Assumptions_&amp;_Inputs'!$E$75*12,$F$121),0))*12))</f>
        <v>0</v>
      </c>
      <c r="AC122" s="222">
        <f>-IF('Key_Assumptions_&amp;_Inputs'!$E$11="Panel Leasing",0,IF(AC114=0,0,IF(AC114=1,0,IF(AC114&lt;=('Key_Assumptions_&amp;_Inputs'!$E$75+1),-PMT('Key_Assumptions_&amp;_Inputs'!$E$74/12,'Key_Assumptions_&amp;_Inputs'!$E$75*12,$F$121),0))*12))</f>
        <v>0</v>
      </c>
      <c r="AD122" s="223">
        <f>-IF('Key_Assumptions_&amp;_Inputs'!$E$11="Panel Leasing",0,IF(AD114=0,0,IF(AD114=1,0,IF(AD114&lt;=('Key_Assumptions_&amp;_Inputs'!$E$75+1),-PMT('Key_Assumptions_&amp;_Inputs'!$E$74/12,'Key_Assumptions_&amp;_Inputs'!$E$75*12,$F$121),0))*12))</f>
        <v>0</v>
      </c>
      <c r="AE122" s="220">
        <f t="shared" si="89"/>
        <v>0</v>
      </c>
    </row>
    <row r="123" spans="2:31" x14ac:dyDescent="0.25">
      <c r="B123" s="132" t="s">
        <v>205</v>
      </c>
      <c r="C123" s="133"/>
      <c r="D123" s="89" t="s">
        <v>0</v>
      </c>
      <c r="E123" s="173">
        <f>SUM(E121:E122)</f>
        <v>0</v>
      </c>
      <c r="F123" s="173">
        <f t="shared" ref="F123:H123" si="90">SUM(F121:F122)</f>
        <v>0</v>
      </c>
      <c r="G123" s="173">
        <f t="shared" si="90"/>
        <v>0</v>
      </c>
      <c r="H123" s="173">
        <f t="shared" si="90"/>
        <v>0</v>
      </c>
      <c r="I123" s="173">
        <f t="shared" ref="I123" si="91">SUM(I121:I122)</f>
        <v>0</v>
      </c>
      <c r="J123" s="173">
        <f t="shared" ref="J123" si="92">SUM(J121:J122)</f>
        <v>0</v>
      </c>
      <c r="K123" s="173">
        <f t="shared" ref="K123" si="93">SUM(K121:K122)</f>
        <v>0</v>
      </c>
      <c r="L123" s="173">
        <f t="shared" ref="L123" si="94">SUM(L121:L122)</f>
        <v>0</v>
      </c>
      <c r="M123" s="173">
        <f t="shared" ref="M123" si="95">SUM(M121:M122)</f>
        <v>0</v>
      </c>
      <c r="N123" s="173">
        <f t="shared" ref="N123" si="96">SUM(N121:N122)</f>
        <v>0</v>
      </c>
      <c r="O123" s="173">
        <f t="shared" ref="O123" si="97">SUM(O121:O122)</f>
        <v>0</v>
      </c>
      <c r="P123" s="173">
        <f t="shared" ref="P123" si="98">SUM(P121:P122)</f>
        <v>0</v>
      </c>
      <c r="Q123" s="173">
        <f t="shared" ref="Q123" si="99">SUM(Q121:Q122)</f>
        <v>0</v>
      </c>
      <c r="R123" s="173">
        <f t="shared" ref="R123" si="100">SUM(R121:R122)</f>
        <v>0</v>
      </c>
      <c r="S123" s="173">
        <f t="shared" ref="S123" si="101">SUM(S121:S122)</f>
        <v>0</v>
      </c>
      <c r="T123" s="173">
        <f t="shared" ref="T123" si="102">SUM(T121:T122)</f>
        <v>0</v>
      </c>
      <c r="U123" s="173">
        <f t="shared" ref="U123" si="103">SUM(U121:U122)</f>
        <v>0</v>
      </c>
      <c r="V123" s="173">
        <f t="shared" ref="V123" si="104">SUM(V121:V122)</f>
        <v>0</v>
      </c>
      <c r="W123" s="173">
        <f t="shared" ref="W123" si="105">SUM(W121:W122)</f>
        <v>0</v>
      </c>
      <c r="X123" s="173">
        <f t="shared" ref="X123" si="106">SUM(X121:X122)</f>
        <v>0</v>
      </c>
      <c r="Y123" s="173">
        <f t="shared" ref="Y123" si="107">SUM(Y121:Y122)</f>
        <v>0</v>
      </c>
      <c r="Z123" s="173">
        <f t="shared" ref="Z123" si="108">SUM(Z121:Z122)</f>
        <v>0</v>
      </c>
      <c r="AA123" s="173">
        <f t="shared" ref="AA123" si="109">SUM(AA121:AA122)</f>
        <v>0</v>
      </c>
      <c r="AB123" s="173">
        <f t="shared" ref="AB123" si="110">SUM(AB121:AB122)</f>
        <v>0</v>
      </c>
      <c r="AC123" s="173">
        <f t="shared" ref="AC123" si="111">SUM(AC121:AC122)</f>
        <v>0</v>
      </c>
      <c r="AD123" s="186">
        <f t="shared" ref="AD123" si="112">SUM(AD121:AD122)</f>
        <v>0</v>
      </c>
      <c r="AE123" s="221">
        <f t="shared" si="89"/>
        <v>0</v>
      </c>
    </row>
    <row r="124" spans="2:31" x14ac:dyDescent="0.25">
      <c r="B124" s="132"/>
      <c r="C124" s="133"/>
      <c r="D124" s="89"/>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86"/>
      <c r="AE124" s="221"/>
    </row>
    <row r="125" spans="2:31" x14ac:dyDescent="0.25">
      <c r="B125" s="134" t="s">
        <v>29</v>
      </c>
      <c r="C125" s="133"/>
      <c r="D125" s="89"/>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86"/>
      <c r="AE125" s="221"/>
    </row>
    <row r="126" spans="2:31" s="64" customFormat="1" x14ac:dyDescent="0.25">
      <c r="B126" s="132" t="s">
        <v>28</v>
      </c>
      <c r="C126" s="133"/>
      <c r="D126" s="96" t="s">
        <v>0</v>
      </c>
      <c r="E126" s="224">
        <v>0</v>
      </c>
      <c r="F126" s="224">
        <f>Generation_Rates!E70/'Key_Assumptions_&amp;_Inputs'!$E$35*'Key_Assumptions_&amp;_Inputs'!$E$22</f>
        <v>398.04566847917107</v>
      </c>
      <c r="G126" s="224">
        <f>Generation_Rates!F70/'Key_Assumptions_&amp;_Inputs'!$E$35*'Key_Assumptions_&amp;_Inputs'!$E$22</f>
        <v>407.0657813725777</v>
      </c>
      <c r="H126" s="224">
        <f>Generation_Rates!G70/'Key_Assumptions_&amp;_Inputs'!$E$35*'Key_Assumptions_&amp;_Inputs'!$E$22</f>
        <v>416.2797869284301</v>
      </c>
      <c r="I126" s="224">
        <f>Generation_Rates!H70/'Key_Assumptions_&amp;_Inputs'!$E$35*'Key_Assumptions_&amp;_Inputs'!$E$22</f>
        <v>425.69149447471204</v>
      </c>
      <c r="J126" s="224">
        <f>Generation_Rates!I70/'Key_Assumptions_&amp;_Inputs'!$E$35*'Key_Assumptions_&amp;_Inputs'!$E$22</f>
        <v>435.30477529003741</v>
      </c>
      <c r="K126" s="224">
        <f>Generation_Rates!J70/'Key_Assumptions_&amp;_Inputs'!$E$35*'Key_Assumptions_&amp;_Inputs'!$E$22</f>
        <v>445.12356310410496</v>
      </c>
      <c r="L126" s="224">
        <f>Generation_Rates!K70/'Key_Assumptions_&amp;_Inputs'!$E$35*'Key_Assumptions_&amp;_Inputs'!$E$22</f>
        <v>455.15185457809969</v>
      </c>
      <c r="M126" s="224">
        <f>Generation_Rates!L70/'Key_Assumptions_&amp;_Inputs'!$E$35*'Key_Assumptions_&amp;_Inputs'!$E$22</f>
        <v>465.39370976353899</v>
      </c>
      <c r="N126" s="224">
        <f>Generation_Rates!M70/'Key_Assumptions_&amp;_Inputs'!$E$35*'Key_Assumptions_&amp;_Inputs'!$E$22</f>
        <v>475.85325253799675</v>
      </c>
      <c r="O126" s="224">
        <f>Generation_Rates!N70/'Key_Assumptions_&amp;_Inputs'!$E$35*'Key_Assumptions_&amp;_Inputs'!$E$22</f>
        <v>486.53467101606066</v>
      </c>
      <c r="P126" s="224">
        <f>Generation_Rates!O70/'Key_Assumptions_&amp;_Inputs'!$E$35*'Key_Assumptions_&amp;_Inputs'!$E$22</f>
        <v>497.44221793381337</v>
      </c>
      <c r="Q126" s="224">
        <f>Generation_Rates!P70/'Key_Assumptions_&amp;_Inputs'!$E$35*'Key_Assumptions_&amp;_Inputs'!$E$22</f>
        <v>508.58021100504527</v>
      </c>
      <c r="R126" s="224">
        <f>Generation_Rates!Q70/'Key_Assumptions_&amp;_Inputs'!$E$35*'Key_Assumptions_&amp;_Inputs'!$E$22</f>
        <v>519.95303324732959</v>
      </c>
      <c r="S126" s="224">
        <f>Generation_Rates!R70/'Key_Assumptions_&amp;_Inputs'!$E$35*'Key_Assumptions_&amp;_Inputs'!$E$22</f>
        <v>531.56513327601158</v>
      </c>
      <c r="T126" s="224">
        <f>Generation_Rates!S70/'Key_Assumptions_&amp;_Inputs'!$E$35*'Key_Assumptions_&amp;_Inputs'!$E$22</f>
        <v>543.42102556407372</v>
      </c>
      <c r="U126" s="224">
        <f>Generation_Rates!T70/'Key_Assumptions_&amp;_Inputs'!$E$35*'Key_Assumptions_&amp;_Inputs'!$E$22</f>
        <v>555.52529066575084</v>
      </c>
      <c r="V126" s="224">
        <f>Generation_Rates!U70/'Key_Assumptions_&amp;_Inputs'!$E$35*'Key_Assumptions_&amp;_Inputs'!$E$22</f>
        <v>567.88257540168456</v>
      </c>
      <c r="W126" s="224">
        <f>Generation_Rates!V70/'Key_Assumptions_&amp;_Inputs'!$E$35*'Key_Assumptions_&amp;_Inputs'!$E$22</f>
        <v>580.49759300329777</v>
      </c>
      <c r="X126" s="224">
        <f>Generation_Rates!W70/'Key_Assumptions_&amp;_Inputs'!$E$35*'Key_Assumptions_&amp;_Inputs'!$E$22</f>
        <v>593.37512321398731</v>
      </c>
      <c r="Y126" s="224">
        <f>Generation_Rates!X70/'Key_Assumptions_&amp;_Inputs'!$E$35*'Key_Assumptions_&amp;_Inputs'!$E$22</f>
        <v>606.52001234461454</v>
      </c>
      <c r="Z126" s="224">
        <f>Generation_Rates!Y70/'Key_Assumptions_&amp;_Inputs'!$E$35*'Key_Assumptions_&amp;_Inputs'!$E$22</f>
        <v>619.93717328067999</v>
      </c>
      <c r="AA126" s="224">
        <f>Generation_Rates!Z70/'Key_Assumptions_&amp;_Inputs'!$E$35*'Key_Assumptions_&amp;_Inputs'!$E$22</f>
        <v>633.63158543845043</v>
      </c>
      <c r="AB126" s="224">
        <f>Generation_Rates!AA70/'Key_Assumptions_&amp;_Inputs'!$E$35*'Key_Assumptions_&amp;_Inputs'!$E$22</f>
        <v>647.60829466719429</v>
      </c>
      <c r="AC126" s="224">
        <f>Generation_Rates!AB70/'Key_Assumptions_&amp;_Inputs'!$E$35*'Key_Assumptions_&amp;_Inputs'!$E$22</f>
        <v>661.87241309456635</v>
      </c>
      <c r="AD126" s="225">
        <f>Generation_Rates!AC70/'Key_Assumptions_&amp;_Inputs'!$E$35*'Key_Assumptions_&amp;_Inputs'!$E$22</f>
        <v>676.42911891204926</v>
      </c>
      <c r="AE126" s="220">
        <f t="shared" si="89"/>
        <v>13154.685358593277</v>
      </c>
    </row>
    <row r="127" spans="2:31" x14ac:dyDescent="0.25">
      <c r="B127" s="135" t="s">
        <v>30</v>
      </c>
      <c r="C127" s="136"/>
      <c r="D127" s="95" t="s">
        <v>0</v>
      </c>
      <c r="E127" s="226">
        <f>E126</f>
        <v>0</v>
      </c>
      <c r="F127" s="226">
        <f t="shared" ref="F127:H127" si="113">F126</f>
        <v>398.04566847917107</v>
      </c>
      <c r="G127" s="226">
        <f t="shared" si="113"/>
        <v>407.0657813725777</v>
      </c>
      <c r="H127" s="226">
        <f t="shared" si="113"/>
        <v>416.2797869284301</v>
      </c>
      <c r="I127" s="226">
        <f t="shared" ref="I127" si="114">I126</f>
        <v>425.69149447471204</v>
      </c>
      <c r="J127" s="226">
        <f t="shared" ref="J127" si="115">J126</f>
        <v>435.30477529003741</v>
      </c>
      <c r="K127" s="226">
        <f t="shared" ref="K127" si="116">K126</f>
        <v>445.12356310410496</v>
      </c>
      <c r="L127" s="226">
        <f t="shared" ref="L127" si="117">L126</f>
        <v>455.15185457809969</v>
      </c>
      <c r="M127" s="226">
        <f t="shared" ref="M127" si="118">M126</f>
        <v>465.39370976353899</v>
      </c>
      <c r="N127" s="226">
        <f t="shared" ref="N127" si="119">N126</f>
        <v>475.85325253799675</v>
      </c>
      <c r="O127" s="226">
        <f t="shared" ref="O127" si="120">O126</f>
        <v>486.53467101606066</v>
      </c>
      <c r="P127" s="226">
        <f t="shared" ref="P127" si="121">P126</f>
        <v>497.44221793381337</v>
      </c>
      <c r="Q127" s="226">
        <f t="shared" ref="Q127" si="122">Q126</f>
        <v>508.58021100504527</v>
      </c>
      <c r="R127" s="226">
        <f t="shared" ref="R127" si="123">R126</f>
        <v>519.95303324732959</v>
      </c>
      <c r="S127" s="226">
        <f t="shared" ref="S127" si="124">S126</f>
        <v>531.56513327601158</v>
      </c>
      <c r="T127" s="226">
        <f t="shared" ref="T127" si="125">T126</f>
        <v>543.42102556407372</v>
      </c>
      <c r="U127" s="226">
        <f t="shared" ref="U127" si="126">U126</f>
        <v>555.52529066575084</v>
      </c>
      <c r="V127" s="226">
        <f t="shared" ref="V127" si="127">V126</f>
        <v>567.88257540168456</v>
      </c>
      <c r="W127" s="226">
        <f t="shared" ref="W127" si="128">W126</f>
        <v>580.49759300329777</v>
      </c>
      <c r="X127" s="226">
        <f t="shared" ref="X127" si="129">X126</f>
        <v>593.37512321398731</v>
      </c>
      <c r="Y127" s="226">
        <f t="shared" ref="Y127" si="130">Y126</f>
        <v>606.52001234461454</v>
      </c>
      <c r="Z127" s="226">
        <f t="shared" ref="Z127" si="131">Z126</f>
        <v>619.93717328067999</v>
      </c>
      <c r="AA127" s="226">
        <f t="shared" ref="AA127" si="132">AA126</f>
        <v>633.63158543845043</v>
      </c>
      <c r="AB127" s="226">
        <f t="shared" ref="AB127" si="133">AB126</f>
        <v>647.60829466719429</v>
      </c>
      <c r="AC127" s="226">
        <f t="shared" ref="AC127" si="134">AC126</f>
        <v>661.87241309456635</v>
      </c>
      <c r="AD127" s="227">
        <f t="shared" ref="AD127" si="135">AD126</f>
        <v>676.42911891204926</v>
      </c>
      <c r="AE127" s="221">
        <f t="shared" si="89"/>
        <v>13154.685358593277</v>
      </c>
    </row>
    <row r="128" spans="2:31" ht="15.75" thickBot="1" x14ac:dyDescent="0.3">
      <c r="B128" s="132"/>
      <c r="C128" s="133"/>
      <c r="D128" s="89"/>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86"/>
      <c r="AE128" s="228"/>
    </row>
    <row r="129" spans="2:31" x14ac:dyDescent="0.25">
      <c r="B129" s="146" t="s">
        <v>8</v>
      </c>
      <c r="C129" s="131"/>
      <c r="D129" s="101" t="s">
        <v>0</v>
      </c>
      <c r="E129" s="229">
        <f>E118+E123+E127</f>
        <v>0</v>
      </c>
      <c r="F129" s="229">
        <f t="shared" ref="F129:H129" si="136">F118+F123+F127</f>
        <v>66.845668479171081</v>
      </c>
      <c r="G129" s="229">
        <f t="shared" si="136"/>
        <v>75.865781372577715</v>
      </c>
      <c r="H129" s="229">
        <f t="shared" si="136"/>
        <v>85.07978692843011</v>
      </c>
      <c r="I129" s="229">
        <f t="shared" ref="I129:AD129" si="137">I118+I123+I127</f>
        <v>94.491494474712056</v>
      </c>
      <c r="J129" s="229">
        <f t="shared" si="137"/>
        <v>104.10477529003742</v>
      </c>
      <c r="K129" s="229">
        <f t="shared" si="137"/>
        <v>113.92356310410497</v>
      </c>
      <c r="L129" s="229">
        <f t="shared" si="137"/>
        <v>123.9518545780997</v>
      </c>
      <c r="M129" s="229">
        <f t="shared" si="137"/>
        <v>134.193709763539</v>
      </c>
      <c r="N129" s="229">
        <f t="shared" si="137"/>
        <v>144.65325253799676</v>
      </c>
      <c r="O129" s="229">
        <f t="shared" si="137"/>
        <v>155.33467101606067</v>
      </c>
      <c r="P129" s="229">
        <f t="shared" si="137"/>
        <v>166.24221793381338</v>
      </c>
      <c r="Q129" s="229">
        <f t="shared" si="137"/>
        <v>177.38021100504528</v>
      </c>
      <c r="R129" s="229">
        <f t="shared" si="137"/>
        <v>188.7530332473296</v>
      </c>
      <c r="S129" s="229">
        <f t="shared" si="137"/>
        <v>200.36513327601159</v>
      </c>
      <c r="T129" s="229">
        <f t="shared" si="137"/>
        <v>212.22102556407373</v>
      </c>
      <c r="U129" s="229">
        <f t="shared" si="137"/>
        <v>224.32529066575086</v>
      </c>
      <c r="V129" s="229">
        <f t="shared" si="137"/>
        <v>236.68257540168457</v>
      </c>
      <c r="W129" s="229">
        <f t="shared" si="137"/>
        <v>249.29759300329778</v>
      </c>
      <c r="X129" s="229">
        <f t="shared" si="137"/>
        <v>262.17512321398732</v>
      </c>
      <c r="Y129" s="229">
        <f t="shared" si="137"/>
        <v>275.32001234461455</v>
      </c>
      <c r="Z129" s="229">
        <f t="shared" si="137"/>
        <v>288.73717328068</v>
      </c>
      <c r="AA129" s="229">
        <f t="shared" si="137"/>
        <v>302.43158543845044</v>
      </c>
      <c r="AB129" s="229">
        <f t="shared" si="137"/>
        <v>316.4082946671943</v>
      </c>
      <c r="AC129" s="229">
        <f t="shared" si="137"/>
        <v>330.67241309456637</v>
      </c>
      <c r="AD129" s="230">
        <f t="shared" si="137"/>
        <v>345.22911891204927</v>
      </c>
      <c r="AE129" s="221">
        <f t="shared" si="89"/>
        <v>4874.6853585932795</v>
      </c>
    </row>
    <row r="130" spans="2:31" ht="15.75" thickBot="1" x14ac:dyDescent="0.3">
      <c r="B130" s="147" t="s">
        <v>9</v>
      </c>
      <c r="C130" s="145"/>
      <c r="D130" s="100" t="s">
        <v>0</v>
      </c>
      <c r="E130" s="231">
        <f>E129</f>
        <v>0</v>
      </c>
      <c r="F130" s="231">
        <f>E130+F129</f>
        <v>66.845668479171081</v>
      </c>
      <c r="G130" s="231">
        <f t="shared" ref="G130:H130" si="138">F130+G129</f>
        <v>142.7114498517488</v>
      </c>
      <c r="H130" s="231">
        <f t="shared" si="138"/>
        <v>227.79123678017891</v>
      </c>
      <c r="I130" s="231">
        <f t="shared" ref="I130" si="139">H130+I129</f>
        <v>322.28273125489096</v>
      </c>
      <c r="J130" s="231">
        <f t="shared" ref="J130" si="140">I130+J129</f>
        <v>426.38750654492839</v>
      </c>
      <c r="K130" s="231">
        <f t="shared" ref="K130" si="141">J130+K129</f>
        <v>540.31106964903336</v>
      </c>
      <c r="L130" s="231">
        <f t="shared" ref="L130" si="142">K130+L129</f>
        <v>664.262924227133</v>
      </c>
      <c r="M130" s="231">
        <f t="shared" ref="M130" si="143">L130+M129</f>
        <v>798.456633990672</v>
      </c>
      <c r="N130" s="231">
        <f t="shared" ref="N130" si="144">M130+N129</f>
        <v>943.10988652866877</v>
      </c>
      <c r="O130" s="231">
        <f t="shared" ref="O130" si="145">N130+O129</f>
        <v>1098.4445575447294</v>
      </c>
      <c r="P130" s="231">
        <f t="shared" ref="P130" si="146">O130+P129</f>
        <v>1264.6867754785428</v>
      </c>
      <c r="Q130" s="231">
        <f t="shared" ref="Q130" si="147">P130+Q129</f>
        <v>1442.0669864835882</v>
      </c>
      <c r="R130" s="231">
        <f t="shared" ref="R130" si="148">Q130+R129</f>
        <v>1630.8200197309177</v>
      </c>
      <c r="S130" s="231">
        <f t="shared" ref="S130" si="149">R130+S129</f>
        <v>1831.1851530069293</v>
      </c>
      <c r="T130" s="231">
        <f t="shared" ref="T130" si="150">S130+T129</f>
        <v>2043.406178571003</v>
      </c>
      <c r="U130" s="231">
        <f t="shared" ref="U130" si="151">T130+U129</f>
        <v>2267.731469236754</v>
      </c>
      <c r="V130" s="231">
        <f t="shared" ref="V130" si="152">U130+V129</f>
        <v>2504.4140446384386</v>
      </c>
      <c r="W130" s="231">
        <f t="shared" ref="W130" si="153">V130+W129</f>
        <v>2753.7116376417362</v>
      </c>
      <c r="X130" s="231">
        <f t="shared" ref="X130" si="154">W130+X129</f>
        <v>3015.8867608557234</v>
      </c>
      <c r="Y130" s="231">
        <f t="shared" ref="Y130" si="155">X130+Y129</f>
        <v>3291.2067732003379</v>
      </c>
      <c r="Z130" s="231">
        <f t="shared" ref="Z130" si="156">Y130+Z129</f>
        <v>3579.943946481018</v>
      </c>
      <c r="AA130" s="231">
        <f t="shared" ref="AA130" si="157">Z130+AA129</f>
        <v>3882.3755319194684</v>
      </c>
      <c r="AB130" s="231">
        <f t="shared" ref="AB130" si="158">AA130+AB129</f>
        <v>4198.7838265866631</v>
      </c>
      <c r="AC130" s="231">
        <f t="shared" ref="AC130" si="159">AB130+AC129</f>
        <v>4529.4562396812298</v>
      </c>
      <c r="AD130" s="232">
        <f t="shared" ref="AD130" si="160">AC130+AD129</f>
        <v>4874.6853585932795</v>
      </c>
      <c r="AE130" s="233"/>
    </row>
    <row r="131" spans="2:31" ht="15.75" thickBot="1" x14ac:dyDescent="0.3">
      <c r="B131" s="147" t="s">
        <v>63</v>
      </c>
      <c r="C131" s="145"/>
      <c r="D131" s="100"/>
      <c r="E131" s="234">
        <f>SUM(F131:Y131)</f>
        <v>0</v>
      </c>
      <c r="F131" s="234">
        <f>IF(F130&lt;0,1,IF(AND(F130&gt;0,E130&lt;0),(-E130/(F130-E130)),0))</f>
        <v>0</v>
      </c>
      <c r="G131" s="234">
        <f>IF(F131=0,0,IF(G130&lt;0,1,IF(AND(G130&gt;0,F130&lt;0),(-F130/(G130-F130)),0)))</f>
        <v>0</v>
      </c>
      <c r="H131" s="234">
        <f t="shared" ref="H131:Y131" si="161">IF(G131=0,0,IF(H130&lt;0,1,IF(AND(H130&gt;0,G130&lt;0),(-G130/(H130-G130)),0)))</f>
        <v>0</v>
      </c>
      <c r="I131" s="234">
        <f t="shared" si="161"/>
        <v>0</v>
      </c>
      <c r="J131" s="234">
        <f t="shared" si="161"/>
        <v>0</v>
      </c>
      <c r="K131" s="234">
        <f t="shared" si="161"/>
        <v>0</v>
      </c>
      <c r="L131" s="234">
        <f t="shared" si="161"/>
        <v>0</v>
      </c>
      <c r="M131" s="234">
        <f t="shared" si="161"/>
        <v>0</v>
      </c>
      <c r="N131" s="234">
        <f t="shared" si="161"/>
        <v>0</v>
      </c>
      <c r="O131" s="234">
        <f t="shared" si="161"/>
        <v>0</v>
      </c>
      <c r="P131" s="234">
        <f t="shared" si="161"/>
        <v>0</v>
      </c>
      <c r="Q131" s="234">
        <f t="shared" si="161"/>
        <v>0</v>
      </c>
      <c r="R131" s="234">
        <f t="shared" si="161"/>
        <v>0</v>
      </c>
      <c r="S131" s="234">
        <f t="shared" si="161"/>
        <v>0</v>
      </c>
      <c r="T131" s="234">
        <f t="shared" si="161"/>
        <v>0</v>
      </c>
      <c r="U131" s="234">
        <f t="shared" si="161"/>
        <v>0</v>
      </c>
      <c r="V131" s="234">
        <f t="shared" si="161"/>
        <v>0</v>
      </c>
      <c r="W131" s="234">
        <f t="shared" si="161"/>
        <v>0</v>
      </c>
      <c r="X131" s="234">
        <f t="shared" si="161"/>
        <v>0</v>
      </c>
      <c r="Y131" s="234">
        <f t="shared" si="161"/>
        <v>0</v>
      </c>
      <c r="Z131" s="234">
        <f>IF(Y131=0,0,IF(Z130&lt;0,1,IF(AND(Z130&gt;0,Y130&lt;0),(-Y130/(Z130-Y130)),0)))</f>
        <v>0</v>
      </c>
      <c r="AA131" s="234">
        <f>IF(Z131=0,0,IF(AA130&lt;0,1,IF(AND(AA130&gt;0,Z130&lt;0),(-Z130/(AA130-Z130)),0)))</f>
        <v>0</v>
      </c>
      <c r="AB131" s="234">
        <f>IF(AA131=0,0,IF(AB130&lt;0,1,IF(AND(AB130&gt;0,AA130&lt;0),(-AA130/(AB130-AA130)),0)))</f>
        <v>0</v>
      </c>
      <c r="AC131" s="234">
        <f>IF(AB131=0,0,IF(AC130&lt;0,1,IF(AND(AC130&gt;0,AB130&lt;0),(-AB130/(AC130-AB130)),0)))</f>
        <v>0</v>
      </c>
      <c r="AD131" s="235">
        <f>IF(AC131=0,0,IF(AD130&lt;0,1,IF(AND(AD130&gt;0,AC130&lt;0),(-AC130/(AD130-AC130)),0)))</f>
        <v>0</v>
      </c>
      <c r="AE131" s="233"/>
    </row>
    <row r="132" spans="2:31" x14ac:dyDescent="0.25">
      <c r="F132" s="84"/>
    </row>
    <row r="133" spans="2:31" x14ac:dyDescent="0.25">
      <c r="B133" s="71"/>
      <c r="C133" s="150" t="s">
        <v>10</v>
      </c>
      <c r="D133" s="157" t="s">
        <v>0</v>
      </c>
      <c r="E133" s="162">
        <f>F129</f>
        <v>66.845668479171081</v>
      </c>
    </row>
    <row r="134" spans="2:31" x14ac:dyDescent="0.25">
      <c r="C134" s="150" t="s">
        <v>11</v>
      </c>
      <c r="D134" s="157" t="s">
        <v>0</v>
      </c>
      <c r="E134" s="162">
        <f>G130</f>
        <v>142.7114498517488</v>
      </c>
    </row>
    <row r="135" spans="2:31" x14ac:dyDescent="0.25">
      <c r="C135" s="1"/>
      <c r="E135" s="5"/>
    </row>
    <row r="136" spans="2:31" x14ac:dyDescent="0.25">
      <c r="C136" s="1"/>
      <c r="D136" s="70"/>
      <c r="E136" s="68" t="s">
        <v>183</v>
      </c>
      <c r="F136" s="68" t="s">
        <v>37</v>
      </c>
    </row>
    <row r="137" spans="2:31" x14ac:dyDescent="0.25">
      <c r="C137" s="150" t="s">
        <v>12</v>
      </c>
      <c r="D137" s="157" t="s">
        <v>0</v>
      </c>
      <c r="E137" s="162">
        <f>SUM(E118:AD118)+SUM(E123:AD123)</f>
        <v>-8279.9999999999982</v>
      </c>
      <c r="F137" s="162">
        <f>E137/'Key_Assumptions_&amp;_Inputs'!$E$18/1000</f>
        <v>-5.8723404255319137E-3</v>
      </c>
      <c r="H137" s="84"/>
    </row>
    <row r="138" spans="2:31" x14ac:dyDescent="0.25">
      <c r="C138" s="150" t="s">
        <v>13</v>
      </c>
      <c r="D138" s="157" t="s">
        <v>0</v>
      </c>
      <c r="E138" s="162">
        <f>SUM(E127:AD127)</f>
        <v>13154.685358593277</v>
      </c>
      <c r="F138" s="162">
        <f>E138/'Key_Assumptions_&amp;_Inputs'!$E$18/1000</f>
        <v>9.3295640841087064E-3</v>
      </c>
      <c r="H138" s="84"/>
    </row>
    <row r="139" spans="2:31" x14ac:dyDescent="0.25">
      <c r="C139" s="150" t="s">
        <v>14</v>
      </c>
      <c r="D139" s="157" t="s">
        <v>0</v>
      </c>
      <c r="E139" s="162">
        <f>E138+E137</f>
        <v>4874.6853585932786</v>
      </c>
      <c r="F139" s="162">
        <f>E139/'Key_Assumptions_&amp;_Inputs'!$E$18/1000</f>
        <v>3.4572236585767935E-3</v>
      </c>
    </row>
    <row r="140" spans="2:31" x14ac:dyDescent="0.25">
      <c r="C140" s="150" t="s">
        <v>15</v>
      </c>
      <c r="D140" s="157" t="s">
        <v>0</v>
      </c>
      <c r="E140" s="162">
        <f>E129+NPV('Key_Assumptions_&amp;_Inputs'!E65,F129:AD129)</f>
        <v>1302.5653027101241</v>
      </c>
      <c r="F140" s="162">
        <f>E140/'Key_Assumptions_&amp;_Inputs'!$E$18/1000</f>
        <v>9.2380517922703847E-4</v>
      </c>
      <c r="G140" s="75"/>
    </row>
    <row r="141" spans="2:31" x14ac:dyDescent="0.25">
      <c r="C141" s="150" t="s">
        <v>23</v>
      </c>
      <c r="D141" s="157" t="s">
        <v>5</v>
      </c>
      <c r="E141" s="160" t="e">
        <f>IRR(F129:AD129)</f>
        <v>#NUM!</v>
      </c>
      <c r="F141" s="160" t="s">
        <v>181</v>
      </c>
    </row>
    <row r="142" spans="2:31" x14ac:dyDescent="0.25">
      <c r="C142" s="150" t="s">
        <v>83</v>
      </c>
      <c r="D142" s="157" t="s">
        <v>5</v>
      </c>
      <c r="E142" s="160" t="e">
        <f>MIRR(E129:AD129,0,'Key_Assumptions_&amp;_Inputs'!E65)</f>
        <v>#DIV/0!</v>
      </c>
      <c r="F142" s="160" t="s">
        <v>181</v>
      </c>
    </row>
    <row r="143" spans="2:31" x14ac:dyDescent="0.25">
      <c r="C143" s="150" t="s">
        <v>22</v>
      </c>
      <c r="D143" s="157" t="s">
        <v>5</v>
      </c>
      <c r="E143" s="160">
        <f>E139/(-E137)</f>
        <v>0.58873011577213519</v>
      </c>
      <c r="F143" s="160" t="s">
        <v>181</v>
      </c>
    </row>
    <row r="144" spans="2:31" x14ac:dyDescent="0.25">
      <c r="C144" s="150" t="s">
        <v>18</v>
      </c>
      <c r="D144" s="157" t="s">
        <v>4</v>
      </c>
      <c r="E144" s="161">
        <f>E131</f>
        <v>0</v>
      </c>
      <c r="F144" s="160" t="s">
        <v>181</v>
      </c>
    </row>
    <row r="145" spans="2:31" s="64" customFormat="1" x14ac:dyDescent="0.25">
      <c r="C145" s="66"/>
      <c r="D145" s="119"/>
      <c r="E145" s="120"/>
    </row>
    <row r="146" spans="2:31" s="64" customFormat="1" ht="15.75" thickBot="1" x14ac:dyDescent="0.3">
      <c r="C146" s="66"/>
      <c r="D146" s="119"/>
      <c r="E146" s="120"/>
    </row>
    <row r="147" spans="2:31" ht="15.75" thickBot="1" x14ac:dyDescent="0.3">
      <c r="B147" s="785" t="s">
        <v>294</v>
      </c>
      <c r="C147" s="786"/>
      <c r="D147" s="787"/>
    </row>
    <row r="148" spans="2:31" x14ac:dyDescent="0.25">
      <c r="B148" s="130"/>
      <c r="C148" s="131"/>
      <c r="D148" s="155" t="s">
        <v>24</v>
      </c>
      <c r="E148" s="153">
        <v>0</v>
      </c>
      <c r="F148" s="127">
        <v>1</v>
      </c>
      <c r="G148" s="127">
        <v>2</v>
      </c>
      <c r="H148" s="127">
        <v>3</v>
      </c>
      <c r="I148" s="127">
        <v>4</v>
      </c>
      <c r="J148" s="127">
        <v>5</v>
      </c>
      <c r="K148" s="127">
        <v>6</v>
      </c>
      <c r="L148" s="127">
        <v>7</v>
      </c>
      <c r="M148" s="127">
        <v>8</v>
      </c>
      <c r="N148" s="127">
        <v>9</v>
      </c>
      <c r="O148" s="127">
        <v>10</v>
      </c>
      <c r="P148" s="127">
        <v>11</v>
      </c>
      <c r="Q148" s="127">
        <v>12</v>
      </c>
      <c r="R148" s="127">
        <v>13</v>
      </c>
      <c r="S148" s="127">
        <v>14</v>
      </c>
      <c r="T148" s="127">
        <v>15</v>
      </c>
      <c r="U148" s="127">
        <v>16</v>
      </c>
      <c r="V148" s="127">
        <v>17</v>
      </c>
      <c r="W148" s="127">
        <v>18</v>
      </c>
      <c r="X148" s="127">
        <v>19</v>
      </c>
      <c r="Y148" s="127">
        <v>20</v>
      </c>
      <c r="Z148" s="127">
        <v>21</v>
      </c>
      <c r="AA148" s="127">
        <v>22</v>
      </c>
      <c r="AB148" s="127">
        <v>23</v>
      </c>
      <c r="AC148" s="127">
        <v>24</v>
      </c>
      <c r="AD148" s="127">
        <v>25</v>
      </c>
      <c r="AE148" s="154" t="s">
        <v>17</v>
      </c>
    </row>
    <row r="149" spans="2:31" x14ac:dyDescent="0.25">
      <c r="B149" s="132"/>
      <c r="C149" s="133"/>
      <c r="D149" s="152" t="s">
        <v>25</v>
      </c>
      <c r="E149" s="124">
        <v>2018</v>
      </c>
      <c r="F149" s="124">
        <f>E149+1</f>
        <v>2019</v>
      </c>
      <c r="G149" s="125">
        <f t="shared" ref="G149:AD149" si="162">F149+1</f>
        <v>2020</v>
      </c>
      <c r="H149" s="125">
        <f t="shared" si="162"/>
        <v>2021</v>
      </c>
      <c r="I149" s="124">
        <f t="shared" si="162"/>
        <v>2022</v>
      </c>
      <c r="J149" s="124">
        <f t="shared" si="162"/>
        <v>2023</v>
      </c>
      <c r="K149" s="124">
        <f t="shared" si="162"/>
        <v>2024</v>
      </c>
      <c r="L149" s="124">
        <f t="shared" si="162"/>
        <v>2025</v>
      </c>
      <c r="M149" s="124">
        <f t="shared" si="162"/>
        <v>2026</v>
      </c>
      <c r="N149" s="124">
        <f t="shared" si="162"/>
        <v>2027</v>
      </c>
      <c r="O149" s="124">
        <f t="shared" si="162"/>
        <v>2028</v>
      </c>
      <c r="P149" s="124">
        <f t="shared" si="162"/>
        <v>2029</v>
      </c>
      <c r="Q149" s="124">
        <f t="shared" si="162"/>
        <v>2030</v>
      </c>
      <c r="R149" s="124">
        <f t="shared" si="162"/>
        <v>2031</v>
      </c>
      <c r="S149" s="124">
        <f t="shared" si="162"/>
        <v>2032</v>
      </c>
      <c r="T149" s="124">
        <f t="shared" si="162"/>
        <v>2033</v>
      </c>
      <c r="U149" s="124">
        <f t="shared" si="162"/>
        <v>2034</v>
      </c>
      <c r="V149" s="124">
        <f t="shared" si="162"/>
        <v>2035</v>
      </c>
      <c r="W149" s="124">
        <f t="shared" si="162"/>
        <v>2036</v>
      </c>
      <c r="X149" s="124">
        <f t="shared" si="162"/>
        <v>2037</v>
      </c>
      <c r="Y149" s="124">
        <f t="shared" si="162"/>
        <v>2038</v>
      </c>
      <c r="Z149" s="124">
        <f t="shared" si="162"/>
        <v>2039</v>
      </c>
      <c r="AA149" s="124">
        <f t="shared" si="162"/>
        <v>2040</v>
      </c>
      <c r="AB149" s="124">
        <f t="shared" si="162"/>
        <v>2041</v>
      </c>
      <c r="AC149" s="124">
        <f t="shared" si="162"/>
        <v>2042</v>
      </c>
      <c r="AD149" s="126">
        <f t="shared" si="162"/>
        <v>2043</v>
      </c>
      <c r="AE149" s="166"/>
    </row>
    <row r="150" spans="2:31" x14ac:dyDescent="0.25">
      <c r="B150" s="134" t="s">
        <v>32</v>
      </c>
      <c r="C150" s="133"/>
      <c r="D150" s="87"/>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7"/>
      <c r="AE150" s="165"/>
    </row>
    <row r="151" spans="2:31" x14ac:dyDescent="0.25">
      <c r="B151" s="163" t="s">
        <v>31</v>
      </c>
      <c r="C151" s="139"/>
      <c r="D151" s="93" t="s">
        <v>0</v>
      </c>
      <c r="E151" s="219">
        <f>IF(E148=0,0,-IF('Key_Assumptions_&amp;_Inputs'!$E$11="Panel Leasing",'Key_Assumptions_&amp;_Inputs'!$E$12*12*'Key_Assumptions_&amp;_Inputs'!$E$22*(1+'Key_Assumptions_&amp;_Inputs'!$E$61)^(E148-1),0))-IF(AND('Key_Assumptions_&amp;_Inputs'!$E$11="Panel Purchasing",Community_Solar_Business_Case!E148=1),'Key_Assumptions_&amp;_Inputs'!$E$12*'Key_Assumptions_&amp;_Inputs'!$E$22,0)</f>
        <v>0</v>
      </c>
      <c r="F151" s="219">
        <f>IF(F148=0,0,-IF('Key_Assumptions_&amp;_Inputs'!$E$11="Panel Leasing",'Key_Assumptions_&amp;_Inputs'!$E$12*12*'Key_Assumptions_&amp;_Inputs'!$E$22*(1+'Key_Assumptions_&amp;_Inputs'!$E$61)^(F148-1),0))-IF(AND('Key_Assumptions_&amp;_Inputs'!$E$11="Panel Purchasing",Community_Solar_Business_Case!F148=1),'Key_Assumptions_&amp;_Inputs'!$E$12*'Key_Assumptions_&amp;_Inputs'!$E$22,0)</f>
        <v>-331.2</v>
      </c>
      <c r="G151" s="219">
        <f>IF(G148=0,0,-IF('Key_Assumptions_&amp;_Inputs'!$E$11="Panel Leasing",'Key_Assumptions_&amp;_Inputs'!$E$12*12*'Key_Assumptions_&amp;_Inputs'!$E$22*(1+'Key_Assumptions_&amp;_Inputs'!$E$61)^(G148-1),0))-IF(AND('Key_Assumptions_&amp;_Inputs'!$E$11="Panel Purchasing",Community_Solar_Business_Case!G148=1),'Key_Assumptions_&amp;_Inputs'!$E$12*'Key_Assumptions_&amp;_Inputs'!$E$22,0)</f>
        <v>-331.2</v>
      </c>
      <c r="H151" s="219">
        <f>IF(H148=0,0,-IF('Key_Assumptions_&amp;_Inputs'!$E$11="Panel Leasing",'Key_Assumptions_&amp;_Inputs'!$E$12*12*'Key_Assumptions_&amp;_Inputs'!$E$22*(1+'Key_Assumptions_&amp;_Inputs'!$E$61)^(H148-1),0))-IF(AND('Key_Assumptions_&amp;_Inputs'!$E$11="Panel Purchasing",Community_Solar_Business_Case!H148=1),'Key_Assumptions_&amp;_Inputs'!$E$12*'Key_Assumptions_&amp;_Inputs'!$E$22,0)</f>
        <v>-331.2</v>
      </c>
      <c r="I151" s="219">
        <f>IF(I148=0,0,-IF('Key_Assumptions_&amp;_Inputs'!$E$11="Panel Leasing",'Key_Assumptions_&amp;_Inputs'!$E$12*12*'Key_Assumptions_&amp;_Inputs'!$E$22*(1+'Key_Assumptions_&amp;_Inputs'!$E$61)^(I148-1),0))-IF(AND('Key_Assumptions_&amp;_Inputs'!$E$11="Panel Purchasing",Community_Solar_Business_Case!I148=1),'Key_Assumptions_&amp;_Inputs'!$E$12*'Key_Assumptions_&amp;_Inputs'!$E$22,0)</f>
        <v>-331.2</v>
      </c>
      <c r="J151" s="219">
        <f>IF(J148=0,0,-IF('Key_Assumptions_&amp;_Inputs'!$E$11="Panel Leasing",'Key_Assumptions_&amp;_Inputs'!$E$12*12*'Key_Assumptions_&amp;_Inputs'!$E$22*(1+'Key_Assumptions_&amp;_Inputs'!$E$61)^(J148-1),0))-IF(AND('Key_Assumptions_&amp;_Inputs'!$E$11="Panel Purchasing",Community_Solar_Business_Case!J148=1),'Key_Assumptions_&amp;_Inputs'!$E$12*'Key_Assumptions_&amp;_Inputs'!$E$22,0)</f>
        <v>-331.2</v>
      </c>
      <c r="K151" s="219">
        <f>IF(K148=0,0,-IF('Key_Assumptions_&amp;_Inputs'!$E$11="Panel Leasing",'Key_Assumptions_&amp;_Inputs'!$E$12*12*'Key_Assumptions_&amp;_Inputs'!$E$22*(1+'Key_Assumptions_&amp;_Inputs'!$E$61)^(K148-1),0))-IF(AND('Key_Assumptions_&amp;_Inputs'!$E$11="Panel Purchasing",Community_Solar_Business_Case!K148=1),'Key_Assumptions_&amp;_Inputs'!$E$12*'Key_Assumptions_&amp;_Inputs'!$E$22,0)</f>
        <v>-331.2</v>
      </c>
      <c r="L151" s="219">
        <f>IF(L148=0,0,-IF('Key_Assumptions_&amp;_Inputs'!$E$11="Panel Leasing",'Key_Assumptions_&amp;_Inputs'!$E$12*12*'Key_Assumptions_&amp;_Inputs'!$E$22*(1+'Key_Assumptions_&amp;_Inputs'!$E$61)^(L148-1),0))-IF(AND('Key_Assumptions_&amp;_Inputs'!$E$11="Panel Purchasing",Community_Solar_Business_Case!L148=1),'Key_Assumptions_&amp;_Inputs'!$E$12*'Key_Assumptions_&amp;_Inputs'!$E$22,0)</f>
        <v>-331.2</v>
      </c>
      <c r="M151" s="219">
        <f>IF(M148=0,0,-IF('Key_Assumptions_&amp;_Inputs'!$E$11="Panel Leasing",'Key_Assumptions_&amp;_Inputs'!$E$12*12*'Key_Assumptions_&amp;_Inputs'!$E$22*(1+'Key_Assumptions_&amp;_Inputs'!$E$61)^(M148-1),0))-IF(AND('Key_Assumptions_&amp;_Inputs'!$E$11="Panel Purchasing",Community_Solar_Business_Case!M148=1),'Key_Assumptions_&amp;_Inputs'!$E$12*'Key_Assumptions_&amp;_Inputs'!$E$22,0)</f>
        <v>-331.2</v>
      </c>
      <c r="N151" s="219">
        <f>IF(N148=0,0,-IF('Key_Assumptions_&amp;_Inputs'!$E$11="Panel Leasing",'Key_Assumptions_&amp;_Inputs'!$E$12*12*'Key_Assumptions_&amp;_Inputs'!$E$22*(1+'Key_Assumptions_&amp;_Inputs'!$E$61)^(N148-1),0))-IF(AND('Key_Assumptions_&amp;_Inputs'!$E$11="Panel Purchasing",Community_Solar_Business_Case!N148=1),'Key_Assumptions_&amp;_Inputs'!$E$12*'Key_Assumptions_&amp;_Inputs'!$E$22,0)</f>
        <v>-331.2</v>
      </c>
      <c r="O151" s="219">
        <f>IF(O148=0,0,-IF('Key_Assumptions_&amp;_Inputs'!$E$11="Panel Leasing",'Key_Assumptions_&amp;_Inputs'!$E$12*12*'Key_Assumptions_&amp;_Inputs'!$E$22*(1+'Key_Assumptions_&amp;_Inputs'!$E$61)^(O148-1),0))-IF(AND('Key_Assumptions_&amp;_Inputs'!$E$11="Panel Purchasing",Community_Solar_Business_Case!O148=1),'Key_Assumptions_&amp;_Inputs'!$E$12*'Key_Assumptions_&amp;_Inputs'!$E$22,0)</f>
        <v>-331.2</v>
      </c>
      <c r="P151" s="219">
        <f>IF(P148=0,0,-IF('Key_Assumptions_&amp;_Inputs'!$E$11="Panel Leasing",'Key_Assumptions_&amp;_Inputs'!$E$12*12*'Key_Assumptions_&amp;_Inputs'!$E$22*(1+'Key_Assumptions_&amp;_Inputs'!$E$61)^(P148-1),0))-IF(AND('Key_Assumptions_&amp;_Inputs'!$E$11="Panel Purchasing",Community_Solar_Business_Case!P148=1),'Key_Assumptions_&amp;_Inputs'!$E$12*'Key_Assumptions_&amp;_Inputs'!$E$22,0)</f>
        <v>-331.2</v>
      </c>
      <c r="Q151" s="219">
        <f>IF(Q148=0,0,-IF('Key_Assumptions_&amp;_Inputs'!$E$11="Panel Leasing",'Key_Assumptions_&amp;_Inputs'!$E$12*12*'Key_Assumptions_&amp;_Inputs'!$E$22*(1+'Key_Assumptions_&amp;_Inputs'!$E$61)^(Q148-1),0))-IF(AND('Key_Assumptions_&amp;_Inputs'!$E$11="Panel Purchasing",Community_Solar_Business_Case!Q148=1),'Key_Assumptions_&amp;_Inputs'!$E$12*'Key_Assumptions_&amp;_Inputs'!$E$22,0)</f>
        <v>-331.2</v>
      </c>
      <c r="R151" s="219">
        <f>IF(R148=0,0,-IF('Key_Assumptions_&amp;_Inputs'!$E$11="Panel Leasing",'Key_Assumptions_&amp;_Inputs'!$E$12*12*'Key_Assumptions_&amp;_Inputs'!$E$22*(1+'Key_Assumptions_&amp;_Inputs'!$E$61)^(R148-1),0))-IF(AND('Key_Assumptions_&amp;_Inputs'!$E$11="Panel Purchasing",Community_Solar_Business_Case!R148=1),'Key_Assumptions_&amp;_Inputs'!$E$12*'Key_Assumptions_&amp;_Inputs'!$E$22,0)</f>
        <v>-331.2</v>
      </c>
      <c r="S151" s="219">
        <f>IF(S148=0,0,-IF('Key_Assumptions_&amp;_Inputs'!$E$11="Panel Leasing",'Key_Assumptions_&amp;_Inputs'!$E$12*12*'Key_Assumptions_&amp;_Inputs'!$E$22*(1+'Key_Assumptions_&amp;_Inputs'!$E$61)^(S148-1),0))-IF(AND('Key_Assumptions_&amp;_Inputs'!$E$11="Panel Purchasing",Community_Solar_Business_Case!S148=1),'Key_Assumptions_&amp;_Inputs'!$E$12*'Key_Assumptions_&amp;_Inputs'!$E$22,0)</f>
        <v>-331.2</v>
      </c>
      <c r="T151" s="219">
        <f>IF(T148=0,0,-IF('Key_Assumptions_&amp;_Inputs'!$E$11="Panel Leasing",'Key_Assumptions_&amp;_Inputs'!$E$12*12*'Key_Assumptions_&amp;_Inputs'!$E$22*(1+'Key_Assumptions_&amp;_Inputs'!$E$61)^(T148-1),0))-IF(AND('Key_Assumptions_&amp;_Inputs'!$E$11="Panel Purchasing",Community_Solar_Business_Case!T148=1),'Key_Assumptions_&amp;_Inputs'!$E$12*'Key_Assumptions_&amp;_Inputs'!$E$22,0)</f>
        <v>-331.2</v>
      </c>
      <c r="U151" s="219">
        <f>IF(U148=0,0,-IF('Key_Assumptions_&amp;_Inputs'!$E$11="Panel Leasing",'Key_Assumptions_&amp;_Inputs'!$E$12*12*'Key_Assumptions_&amp;_Inputs'!$E$22*(1+'Key_Assumptions_&amp;_Inputs'!$E$61)^(U148-1),0))-IF(AND('Key_Assumptions_&amp;_Inputs'!$E$11="Panel Purchasing",Community_Solar_Business_Case!U148=1),'Key_Assumptions_&amp;_Inputs'!$E$12*'Key_Assumptions_&amp;_Inputs'!$E$22,0)</f>
        <v>-331.2</v>
      </c>
      <c r="V151" s="219">
        <f>IF(V148=0,0,-IF('Key_Assumptions_&amp;_Inputs'!$E$11="Panel Leasing",'Key_Assumptions_&amp;_Inputs'!$E$12*12*'Key_Assumptions_&amp;_Inputs'!$E$22*(1+'Key_Assumptions_&amp;_Inputs'!$E$61)^(V148-1),0))-IF(AND('Key_Assumptions_&amp;_Inputs'!$E$11="Panel Purchasing",Community_Solar_Business_Case!V148=1),'Key_Assumptions_&amp;_Inputs'!$E$12*'Key_Assumptions_&amp;_Inputs'!$E$22,0)</f>
        <v>-331.2</v>
      </c>
      <c r="W151" s="219">
        <f>IF(W148=0,0,-IF('Key_Assumptions_&amp;_Inputs'!$E$11="Panel Leasing",'Key_Assumptions_&amp;_Inputs'!$E$12*12*'Key_Assumptions_&amp;_Inputs'!$E$22*(1+'Key_Assumptions_&amp;_Inputs'!$E$61)^(W148-1),0))-IF(AND('Key_Assumptions_&amp;_Inputs'!$E$11="Panel Purchasing",Community_Solar_Business_Case!W148=1),'Key_Assumptions_&amp;_Inputs'!$E$12*'Key_Assumptions_&amp;_Inputs'!$E$22,0)</f>
        <v>-331.2</v>
      </c>
      <c r="X151" s="219">
        <f>IF(X148=0,0,-IF('Key_Assumptions_&amp;_Inputs'!$E$11="Panel Leasing",'Key_Assumptions_&amp;_Inputs'!$E$12*12*'Key_Assumptions_&amp;_Inputs'!$E$22*(1+'Key_Assumptions_&amp;_Inputs'!$E$61)^(X148-1),0))-IF(AND('Key_Assumptions_&amp;_Inputs'!$E$11="Panel Purchasing",Community_Solar_Business_Case!X148=1),'Key_Assumptions_&amp;_Inputs'!$E$12*'Key_Assumptions_&amp;_Inputs'!$E$22,0)</f>
        <v>-331.2</v>
      </c>
      <c r="Y151" s="219">
        <f>IF(Y148=0,0,-IF('Key_Assumptions_&amp;_Inputs'!$E$11="Panel Leasing",'Key_Assumptions_&amp;_Inputs'!$E$12*12*'Key_Assumptions_&amp;_Inputs'!$E$22*(1+'Key_Assumptions_&amp;_Inputs'!$E$61)^(Y148-1),0))-IF(AND('Key_Assumptions_&amp;_Inputs'!$E$11="Panel Purchasing",Community_Solar_Business_Case!Y148=1),'Key_Assumptions_&amp;_Inputs'!$E$12*'Key_Assumptions_&amp;_Inputs'!$E$22,0)</f>
        <v>-331.2</v>
      </c>
      <c r="Z151" s="219">
        <f>IF(Z148=0,0,-IF('Key_Assumptions_&amp;_Inputs'!$E$11="Panel Leasing",'Key_Assumptions_&amp;_Inputs'!$E$12*12*'Key_Assumptions_&amp;_Inputs'!$E$22*(1+'Key_Assumptions_&amp;_Inputs'!$E$61)^(Z148-1),0))-IF(AND('Key_Assumptions_&amp;_Inputs'!$E$11="Panel Purchasing",Community_Solar_Business_Case!Z148=1),'Key_Assumptions_&amp;_Inputs'!$E$12*'Key_Assumptions_&amp;_Inputs'!$E$22,0)</f>
        <v>-331.2</v>
      </c>
      <c r="AA151" s="219">
        <f>IF(AA148=0,0,-IF('Key_Assumptions_&amp;_Inputs'!$E$11="Panel Leasing",'Key_Assumptions_&amp;_Inputs'!$E$12*12*'Key_Assumptions_&amp;_Inputs'!$E$22*(1+'Key_Assumptions_&amp;_Inputs'!$E$61)^(AA148-1),0))-IF(AND('Key_Assumptions_&amp;_Inputs'!$E$11="Panel Purchasing",Community_Solar_Business_Case!AA148=1),'Key_Assumptions_&amp;_Inputs'!$E$12*'Key_Assumptions_&amp;_Inputs'!$E$22,0)</f>
        <v>-331.2</v>
      </c>
      <c r="AB151" s="219">
        <f>IF(AB148=0,0,-IF('Key_Assumptions_&amp;_Inputs'!$E$11="Panel Leasing",'Key_Assumptions_&amp;_Inputs'!$E$12*12*'Key_Assumptions_&amp;_Inputs'!$E$22*(1+'Key_Assumptions_&amp;_Inputs'!$E$61)^(AB148-1),0))-IF(AND('Key_Assumptions_&amp;_Inputs'!$E$11="Panel Purchasing",Community_Solar_Business_Case!AB148=1),'Key_Assumptions_&amp;_Inputs'!$E$12*'Key_Assumptions_&amp;_Inputs'!$E$22,0)</f>
        <v>-331.2</v>
      </c>
      <c r="AC151" s="219">
        <f>IF(AC148=0,0,-IF('Key_Assumptions_&amp;_Inputs'!$E$11="Panel Leasing",'Key_Assumptions_&amp;_Inputs'!$E$12*12*'Key_Assumptions_&amp;_Inputs'!$E$22*(1+'Key_Assumptions_&amp;_Inputs'!$E$61)^(AC148-1),0))-IF(AND('Key_Assumptions_&amp;_Inputs'!$E$11="Panel Purchasing",Community_Solar_Business_Case!AC148=1),'Key_Assumptions_&amp;_Inputs'!$E$12*'Key_Assumptions_&amp;_Inputs'!$E$22,0)</f>
        <v>-331.2</v>
      </c>
      <c r="AD151" s="219">
        <f>IF(AD148=0,0,-IF('Key_Assumptions_&amp;_Inputs'!$E$11="Panel Leasing",'Key_Assumptions_&amp;_Inputs'!$E$12*12*'Key_Assumptions_&amp;_Inputs'!$E$22*(1+'Key_Assumptions_&amp;_Inputs'!$E$61)^(AD148-1),0))-IF(AND('Key_Assumptions_&amp;_Inputs'!$E$11="Panel Purchasing",Community_Solar_Business_Case!AD148=1),'Key_Assumptions_&amp;_Inputs'!$E$12*'Key_Assumptions_&amp;_Inputs'!$E$22,0)</f>
        <v>-331.2</v>
      </c>
      <c r="AE151" s="220">
        <f>SUM(E151:AD151)</f>
        <v>-8279.9999999999982</v>
      </c>
    </row>
    <row r="152" spans="2:31" x14ac:dyDescent="0.25">
      <c r="B152" s="132" t="s">
        <v>33</v>
      </c>
      <c r="C152" s="133"/>
      <c r="D152" s="89" t="s">
        <v>0</v>
      </c>
      <c r="E152" s="173">
        <f>SUM(E151:E151)</f>
        <v>0</v>
      </c>
      <c r="F152" s="173">
        <f t="shared" ref="F152:AD152" si="163">SUM(F151:F151)</f>
        <v>-331.2</v>
      </c>
      <c r="G152" s="173">
        <f t="shared" si="163"/>
        <v>-331.2</v>
      </c>
      <c r="H152" s="173">
        <f t="shared" si="163"/>
        <v>-331.2</v>
      </c>
      <c r="I152" s="173">
        <f t="shared" si="163"/>
        <v>-331.2</v>
      </c>
      <c r="J152" s="173">
        <f t="shared" si="163"/>
        <v>-331.2</v>
      </c>
      <c r="K152" s="173">
        <f t="shared" si="163"/>
        <v>-331.2</v>
      </c>
      <c r="L152" s="173">
        <f t="shared" si="163"/>
        <v>-331.2</v>
      </c>
      <c r="M152" s="173">
        <f t="shared" si="163"/>
        <v>-331.2</v>
      </c>
      <c r="N152" s="173">
        <f t="shared" si="163"/>
        <v>-331.2</v>
      </c>
      <c r="O152" s="173">
        <f t="shared" si="163"/>
        <v>-331.2</v>
      </c>
      <c r="P152" s="173">
        <f t="shared" si="163"/>
        <v>-331.2</v>
      </c>
      <c r="Q152" s="173">
        <f t="shared" si="163"/>
        <v>-331.2</v>
      </c>
      <c r="R152" s="173">
        <f t="shared" si="163"/>
        <v>-331.2</v>
      </c>
      <c r="S152" s="173">
        <f t="shared" si="163"/>
        <v>-331.2</v>
      </c>
      <c r="T152" s="173">
        <f t="shared" si="163"/>
        <v>-331.2</v>
      </c>
      <c r="U152" s="173">
        <f t="shared" si="163"/>
        <v>-331.2</v>
      </c>
      <c r="V152" s="173">
        <f t="shared" si="163"/>
        <v>-331.2</v>
      </c>
      <c r="W152" s="173">
        <f t="shared" si="163"/>
        <v>-331.2</v>
      </c>
      <c r="X152" s="173">
        <f t="shared" si="163"/>
        <v>-331.2</v>
      </c>
      <c r="Y152" s="173">
        <f t="shared" si="163"/>
        <v>-331.2</v>
      </c>
      <c r="Z152" s="173">
        <f t="shared" si="163"/>
        <v>-331.2</v>
      </c>
      <c r="AA152" s="173">
        <f t="shared" si="163"/>
        <v>-331.2</v>
      </c>
      <c r="AB152" s="173">
        <f t="shared" si="163"/>
        <v>-331.2</v>
      </c>
      <c r="AC152" s="173">
        <f t="shared" si="163"/>
        <v>-331.2</v>
      </c>
      <c r="AD152" s="186">
        <f t="shared" si="163"/>
        <v>-331.2</v>
      </c>
      <c r="AE152" s="221">
        <f t="shared" ref="AE152" si="164">SUM(E152:AD152)</f>
        <v>-8279.9999999999982</v>
      </c>
    </row>
    <row r="153" spans="2:31" x14ac:dyDescent="0.25">
      <c r="B153" s="132"/>
      <c r="C153" s="133"/>
      <c r="D153" s="89"/>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86"/>
      <c r="AE153" s="221"/>
    </row>
    <row r="154" spans="2:31" x14ac:dyDescent="0.25">
      <c r="B154" s="134" t="s">
        <v>118</v>
      </c>
      <c r="C154" s="133"/>
      <c r="D154" s="89"/>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86"/>
      <c r="AE154" s="221"/>
    </row>
    <row r="155" spans="2:31" x14ac:dyDescent="0.25">
      <c r="B155" s="137" t="s">
        <v>201</v>
      </c>
      <c r="C155" s="133"/>
      <c r="D155" s="89" t="s">
        <v>0</v>
      </c>
      <c r="E155" s="173">
        <f>IF(AND('Key_Assumptions_&amp;_Inputs'!$E$11="Panel Purchasing",Community_Solar_Business_Case!E148=1),-Community_Solar_Business_Case!$F$118*'Key_Assumptions_&amp;_Inputs'!$E$73,0)</f>
        <v>0</v>
      </c>
      <c r="F155" s="173">
        <f>IF(AND('Key_Assumptions_&amp;_Inputs'!$E$11="Panel Purchasing",Community_Solar_Business_Case!F148=1),-Community_Solar_Business_Case!$F$118*'Key_Assumptions_&amp;_Inputs'!$E$73,0)</f>
        <v>0</v>
      </c>
      <c r="G155" s="173">
        <f>IF(AND('Key_Assumptions_&amp;_Inputs'!$E$11="Panel Purchasing",Community_Solar_Business_Case!G148=1),-Community_Solar_Business_Case!$F$118*'Key_Assumptions_&amp;_Inputs'!$E$73,0)</f>
        <v>0</v>
      </c>
      <c r="H155" s="173">
        <f>IF(AND('Key_Assumptions_&amp;_Inputs'!$E$11="Panel Purchasing",Community_Solar_Business_Case!H148=1),-Community_Solar_Business_Case!$F$118*'Key_Assumptions_&amp;_Inputs'!$E$73,0)</f>
        <v>0</v>
      </c>
      <c r="I155" s="173">
        <f>IF(AND('Key_Assumptions_&amp;_Inputs'!$E$11="Panel Purchasing",Community_Solar_Business_Case!I148=1),-Community_Solar_Business_Case!$F$118*'Key_Assumptions_&amp;_Inputs'!$E$73,0)</f>
        <v>0</v>
      </c>
      <c r="J155" s="173">
        <f>IF(AND('Key_Assumptions_&amp;_Inputs'!$E$11="Panel Purchasing",Community_Solar_Business_Case!J148=1),-Community_Solar_Business_Case!$F$118*'Key_Assumptions_&amp;_Inputs'!$E$73,0)</f>
        <v>0</v>
      </c>
      <c r="K155" s="173">
        <f>IF(AND('Key_Assumptions_&amp;_Inputs'!$E$11="Panel Purchasing",Community_Solar_Business_Case!K148=1),-Community_Solar_Business_Case!$F$118*'Key_Assumptions_&amp;_Inputs'!$E$73,0)</f>
        <v>0</v>
      </c>
      <c r="L155" s="173">
        <f>IF(AND('Key_Assumptions_&amp;_Inputs'!$E$11="Panel Purchasing",Community_Solar_Business_Case!L148=1),-Community_Solar_Business_Case!$F$118*'Key_Assumptions_&amp;_Inputs'!$E$73,0)</f>
        <v>0</v>
      </c>
      <c r="M155" s="173">
        <f>IF(AND('Key_Assumptions_&amp;_Inputs'!$E$11="Panel Purchasing",Community_Solar_Business_Case!M148=1),-Community_Solar_Business_Case!$F$118*'Key_Assumptions_&amp;_Inputs'!$E$73,0)</f>
        <v>0</v>
      </c>
      <c r="N155" s="173">
        <f>IF(AND('Key_Assumptions_&amp;_Inputs'!$E$11="Panel Purchasing",Community_Solar_Business_Case!N148=1),-Community_Solar_Business_Case!$F$118*'Key_Assumptions_&amp;_Inputs'!$E$73,0)</f>
        <v>0</v>
      </c>
      <c r="O155" s="173">
        <f>IF(AND('Key_Assumptions_&amp;_Inputs'!$E$11="Panel Purchasing",Community_Solar_Business_Case!O148=1),-Community_Solar_Business_Case!$F$118*'Key_Assumptions_&amp;_Inputs'!$E$73,0)</f>
        <v>0</v>
      </c>
      <c r="P155" s="173">
        <f>IF(AND('Key_Assumptions_&amp;_Inputs'!$E$11="Panel Purchasing",Community_Solar_Business_Case!P148=1),-Community_Solar_Business_Case!$F$118*'Key_Assumptions_&amp;_Inputs'!$E$73,0)</f>
        <v>0</v>
      </c>
      <c r="Q155" s="173">
        <f>IF(AND('Key_Assumptions_&amp;_Inputs'!$E$11="Panel Purchasing",Community_Solar_Business_Case!Q148=1),-Community_Solar_Business_Case!$F$118*'Key_Assumptions_&amp;_Inputs'!$E$73,0)</f>
        <v>0</v>
      </c>
      <c r="R155" s="173">
        <f>IF(AND('Key_Assumptions_&amp;_Inputs'!$E$11="Panel Purchasing",Community_Solar_Business_Case!R148=1),-Community_Solar_Business_Case!$F$118*'Key_Assumptions_&amp;_Inputs'!$E$73,0)</f>
        <v>0</v>
      </c>
      <c r="S155" s="173">
        <f>IF(AND('Key_Assumptions_&amp;_Inputs'!$E$11="Panel Purchasing",Community_Solar_Business_Case!S148=1),-Community_Solar_Business_Case!$F$118*'Key_Assumptions_&amp;_Inputs'!$E$73,0)</f>
        <v>0</v>
      </c>
      <c r="T155" s="173">
        <f>IF(AND('Key_Assumptions_&amp;_Inputs'!$E$11="Panel Purchasing",Community_Solar_Business_Case!T148=1),-Community_Solar_Business_Case!$F$118*'Key_Assumptions_&amp;_Inputs'!$E$73,0)</f>
        <v>0</v>
      </c>
      <c r="U155" s="173">
        <f>IF(AND('Key_Assumptions_&amp;_Inputs'!$E$11="Panel Purchasing",Community_Solar_Business_Case!U148=1),-Community_Solar_Business_Case!$F$118*'Key_Assumptions_&amp;_Inputs'!$E$73,0)</f>
        <v>0</v>
      </c>
      <c r="V155" s="173">
        <f>IF(AND('Key_Assumptions_&amp;_Inputs'!$E$11="Panel Purchasing",Community_Solar_Business_Case!V148=1),-Community_Solar_Business_Case!$F$118*'Key_Assumptions_&amp;_Inputs'!$E$73,0)</f>
        <v>0</v>
      </c>
      <c r="W155" s="173">
        <f>IF(AND('Key_Assumptions_&amp;_Inputs'!$E$11="Panel Purchasing",Community_Solar_Business_Case!W148=1),-Community_Solar_Business_Case!$F$118*'Key_Assumptions_&amp;_Inputs'!$E$73,0)</f>
        <v>0</v>
      </c>
      <c r="X155" s="173">
        <f>IF(AND('Key_Assumptions_&amp;_Inputs'!$E$11="Panel Purchasing",Community_Solar_Business_Case!X148=1),-Community_Solar_Business_Case!$F$118*'Key_Assumptions_&amp;_Inputs'!$E$73,0)</f>
        <v>0</v>
      </c>
      <c r="Y155" s="173">
        <f>IF(AND('Key_Assumptions_&amp;_Inputs'!$E$11="Panel Purchasing",Community_Solar_Business_Case!Y148=1),-Community_Solar_Business_Case!$F$118*'Key_Assumptions_&amp;_Inputs'!$E$73,0)</f>
        <v>0</v>
      </c>
      <c r="Z155" s="173">
        <f>IF(AND('Key_Assumptions_&amp;_Inputs'!$E$11="Panel Purchasing",Community_Solar_Business_Case!Z148=1),-Community_Solar_Business_Case!$F$118*'Key_Assumptions_&amp;_Inputs'!$E$73,0)</f>
        <v>0</v>
      </c>
      <c r="AA155" s="173">
        <f>IF(AND('Key_Assumptions_&amp;_Inputs'!$E$11="Panel Purchasing",Community_Solar_Business_Case!AA148=1),-Community_Solar_Business_Case!$F$118*'Key_Assumptions_&amp;_Inputs'!$E$73,0)</f>
        <v>0</v>
      </c>
      <c r="AB155" s="173">
        <f>IF(AND('Key_Assumptions_&amp;_Inputs'!$E$11="Panel Purchasing",Community_Solar_Business_Case!AB148=1),-Community_Solar_Business_Case!$F$118*'Key_Assumptions_&amp;_Inputs'!$E$73,0)</f>
        <v>0</v>
      </c>
      <c r="AC155" s="173">
        <f>IF(AND('Key_Assumptions_&amp;_Inputs'!$E$11="Panel Purchasing",Community_Solar_Business_Case!AC148=1),-Community_Solar_Business_Case!$F$118*'Key_Assumptions_&amp;_Inputs'!$E$73,0)</f>
        <v>0</v>
      </c>
      <c r="AD155" s="186">
        <f>IF(AND('Key_Assumptions_&amp;_Inputs'!$E$11="Panel Purchasing",Community_Solar_Business_Case!AD148=1),-Community_Solar_Business_Case!$F$118*'Key_Assumptions_&amp;_Inputs'!$E$73,0)</f>
        <v>0</v>
      </c>
      <c r="AE155" s="221">
        <f t="shared" ref="AE155:AE157" si="165">SUM(E155:AD155)</f>
        <v>0</v>
      </c>
    </row>
    <row r="156" spans="2:31" x14ac:dyDescent="0.25">
      <c r="B156" s="138" t="s">
        <v>204</v>
      </c>
      <c r="C156" s="139"/>
      <c r="D156" s="93" t="s">
        <v>0</v>
      </c>
      <c r="E156" s="222">
        <v>0</v>
      </c>
      <c r="F156" s="222">
        <f>-IF('Key_Assumptions_&amp;_Inputs'!$E$11="Panel Leasing",0,IF(F148=0,0,IF(F148=1,0,IF(F148&lt;=('Key_Assumptions_&amp;_Inputs'!$E$75+1),-PMT('Key_Assumptions_&amp;_Inputs'!$E$74/12,'Key_Assumptions_&amp;_Inputs'!$E$75*12,$F$121),0))*12))</f>
        <v>0</v>
      </c>
      <c r="G156" s="222">
        <f>-IF('Key_Assumptions_&amp;_Inputs'!$E$11="Panel Leasing",0,IF(G148=0,0,IF(G148=1,0,IF(G148&lt;=('Key_Assumptions_&amp;_Inputs'!$E$75+1),-PMT('Key_Assumptions_&amp;_Inputs'!$E$74/12,'Key_Assumptions_&amp;_Inputs'!$E$75*12,$F$121),0))*12))</f>
        <v>0</v>
      </c>
      <c r="H156" s="222">
        <f>-IF('Key_Assumptions_&amp;_Inputs'!$E$11="Panel Leasing",0,IF(H148=0,0,IF(H148=1,0,IF(H148&lt;=('Key_Assumptions_&amp;_Inputs'!$E$75+1),-PMT('Key_Assumptions_&amp;_Inputs'!$E$74/12,'Key_Assumptions_&amp;_Inputs'!$E$75*12,$F$121),0))*12))</f>
        <v>0</v>
      </c>
      <c r="I156" s="222">
        <f>-IF('Key_Assumptions_&amp;_Inputs'!$E$11="Panel Leasing",0,IF(I148=0,0,IF(I148=1,0,IF(I148&lt;=('Key_Assumptions_&amp;_Inputs'!$E$75+1),-PMT('Key_Assumptions_&amp;_Inputs'!$E$74/12,'Key_Assumptions_&amp;_Inputs'!$E$75*12,$F$121),0))*12))</f>
        <v>0</v>
      </c>
      <c r="J156" s="222">
        <f>-IF('Key_Assumptions_&amp;_Inputs'!$E$11="Panel Leasing",0,IF(J148=0,0,IF(J148=1,0,IF(J148&lt;=('Key_Assumptions_&amp;_Inputs'!$E$75+1),-PMT('Key_Assumptions_&amp;_Inputs'!$E$74/12,'Key_Assumptions_&amp;_Inputs'!$E$75*12,$F$121),0))*12))</f>
        <v>0</v>
      </c>
      <c r="K156" s="222">
        <f>-IF('Key_Assumptions_&amp;_Inputs'!$E$11="Panel Leasing",0,IF(K148=0,0,IF(K148=1,0,IF(K148&lt;=('Key_Assumptions_&amp;_Inputs'!$E$75+1),-PMT('Key_Assumptions_&amp;_Inputs'!$E$74/12,'Key_Assumptions_&amp;_Inputs'!$E$75*12,$F$121),0))*12))</f>
        <v>0</v>
      </c>
      <c r="L156" s="222">
        <f>-IF('Key_Assumptions_&amp;_Inputs'!$E$11="Panel Leasing",0,IF(L148=0,0,IF(L148=1,0,IF(L148&lt;=('Key_Assumptions_&amp;_Inputs'!$E$75+1),-PMT('Key_Assumptions_&amp;_Inputs'!$E$74/12,'Key_Assumptions_&amp;_Inputs'!$E$75*12,$F$121),0))*12))</f>
        <v>0</v>
      </c>
      <c r="M156" s="222">
        <f>-IF('Key_Assumptions_&amp;_Inputs'!$E$11="Panel Leasing",0,IF(M148=0,0,IF(M148=1,0,IF(M148&lt;=('Key_Assumptions_&amp;_Inputs'!$E$75+1),-PMT('Key_Assumptions_&amp;_Inputs'!$E$74/12,'Key_Assumptions_&amp;_Inputs'!$E$75*12,$F$121),0))*12))</f>
        <v>0</v>
      </c>
      <c r="N156" s="222">
        <f>-IF('Key_Assumptions_&amp;_Inputs'!$E$11="Panel Leasing",0,IF(N148=0,0,IF(N148=1,0,IF(N148&lt;=('Key_Assumptions_&amp;_Inputs'!$E$75+1),-PMT('Key_Assumptions_&amp;_Inputs'!$E$74/12,'Key_Assumptions_&amp;_Inputs'!$E$75*12,$F$121),0))*12))</f>
        <v>0</v>
      </c>
      <c r="O156" s="222">
        <f>-IF('Key_Assumptions_&amp;_Inputs'!$E$11="Panel Leasing",0,IF(O148=0,0,IF(O148=1,0,IF(O148&lt;=('Key_Assumptions_&amp;_Inputs'!$E$75+1),-PMT('Key_Assumptions_&amp;_Inputs'!$E$74/12,'Key_Assumptions_&amp;_Inputs'!$E$75*12,$F$121),0))*12))</f>
        <v>0</v>
      </c>
      <c r="P156" s="222">
        <f>-IF('Key_Assumptions_&amp;_Inputs'!$E$11="Panel Leasing",0,IF(P148=0,0,IF(P148=1,0,IF(P148&lt;=('Key_Assumptions_&amp;_Inputs'!$E$75+1),-PMT('Key_Assumptions_&amp;_Inputs'!$E$74/12,'Key_Assumptions_&amp;_Inputs'!$E$75*12,$F$121),0))*12))</f>
        <v>0</v>
      </c>
      <c r="Q156" s="222">
        <f>-IF('Key_Assumptions_&amp;_Inputs'!$E$11="Panel Leasing",0,IF(Q148=0,0,IF(Q148=1,0,IF(Q148&lt;=('Key_Assumptions_&amp;_Inputs'!$E$75+1),-PMT('Key_Assumptions_&amp;_Inputs'!$E$74/12,'Key_Assumptions_&amp;_Inputs'!$E$75*12,$F$121),0))*12))</f>
        <v>0</v>
      </c>
      <c r="R156" s="222">
        <f>-IF('Key_Assumptions_&amp;_Inputs'!$E$11="Panel Leasing",0,IF(R148=0,0,IF(R148=1,0,IF(R148&lt;=('Key_Assumptions_&amp;_Inputs'!$E$75+1),-PMT('Key_Assumptions_&amp;_Inputs'!$E$74/12,'Key_Assumptions_&amp;_Inputs'!$E$75*12,$F$121),0))*12))</f>
        <v>0</v>
      </c>
      <c r="S156" s="222">
        <f>-IF('Key_Assumptions_&amp;_Inputs'!$E$11="Panel Leasing",0,IF(S148=0,0,IF(S148=1,0,IF(S148&lt;=('Key_Assumptions_&amp;_Inputs'!$E$75+1),-PMT('Key_Assumptions_&amp;_Inputs'!$E$74/12,'Key_Assumptions_&amp;_Inputs'!$E$75*12,$F$121),0))*12))</f>
        <v>0</v>
      </c>
      <c r="T156" s="222">
        <f>-IF('Key_Assumptions_&amp;_Inputs'!$E$11="Panel Leasing",0,IF(T148=0,0,IF(T148=1,0,IF(T148&lt;=('Key_Assumptions_&amp;_Inputs'!$E$75+1),-PMT('Key_Assumptions_&amp;_Inputs'!$E$74/12,'Key_Assumptions_&amp;_Inputs'!$E$75*12,$F$121),0))*12))</f>
        <v>0</v>
      </c>
      <c r="U156" s="222">
        <f>-IF('Key_Assumptions_&amp;_Inputs'!$E$11="Panel Leasing",0,IF(U148=0,0,IF(U148=1,0,IF(U148&lt;=('Key_Assumptions_&amp;_Inputs'!$E$75+1),-PMT('Key_Assumptions_&amp;_Inputs'!$E$74/12,'Key_Assumptions_&amp;_Inputs'!$E$75*12,$F$121),0))*12))</f>
        <v>0</v>
      </c>
      <c r="V156" s="222">
        <f>-IF('Key_Assumptions_&amp;_Inputs'!$E$11="Panel Leasing",0,IF(V148=0,0,IF(V148=1,0,IF(V148&lt;=('Key_Assumptions_&amp;_Inputs'!$E$75+1),-PMT('Key_Assumptions_&amp;_Inputs'!$E$74/12,'Key_Assumptions_&amp;_Inputs'!$E$75*12,$F$121),0))*12))</f>
        <v>0</v>
      </c>
      <c r="W156" s="222">
        <f>-IF('Key_Assumptions_&amp;_Inputs'!$E$11="Panel Leasing",0,IF(W148=0,0,IF(W148=1,0,IF(W148&lt;=('Key_Assumptions_&amp;_Inputs'!$E$75+1),-PMT('Key_Assumptions_&amp;_Inputs'!$E$74/12,'Key_Assumptions_&amp;_Inputs'!$E$75*12,$F$121),0))*12))</f>
        <v>0</v>
      </c>
      <c r="X156" s="222">
        <f>-IF('Key_Assumptions_&amp;_Inputs'!$E$11="Panel Leasing",0,IF(X148=0,0,IF(X148=1,0,IF(X148&lt;=('Key_Assumptions_&amp;_Inputs'!$E$75+1),-PMT('Key_Assumptions_&amp;_Inputs'!$E$74/12,'Key_Assumptions_&amp;_Inputs'!$E$75*12,$F$121),0))*12))</f>
        <v>0</v>
      </c>
      <c r="Y156" s="222">
        <f>-IF('Key_Assumptions_&amp;_Inputs'!$E$11="Panel Leasing",0,IF(Y148=0,0,IF(Y148=1,0,IF(Y148&lt;=('Key_Assumptions_&amp;_Inputs'!$E$75+1),-PMT('Key_Assumptions_&amp;_Inputs'!$E$74/12,'Key_Assumptions_&amp;_Inputs'!$E$75*12,$F$121),0))*12))</f>
        <v>0</v>
      </c>
      <c r="Z156" s="222">
        <f>-IF('Key_Assumptions_&amp;_Inputs'!$E$11="Panel Leasing",0,IF(Z148=0,0,IF(Z148=1,0,IF(Z148&lt;=('Key_Assumptions_&amp;_Inputs'!$E$75+1),-PMT('Key_Assumptions_&amp;_Inputs'!$E$74/12,'Key_Assumptions_&amp;_Inputs'!$E$75*12,$F$121),0))*12))</f>
        <v>0</v>
      </c>
      <c r="AA156" s="222">
        <f>-IF('Key_Assumptions_&amp;_Inputs'!$E$11="Panel Leasing",0,IF(AA148=0,0,IF(AA148=1,0,IF(AA148&lt;=('Key_Assumptions_&amp;_Inputs'!$E$75+1),-PMT('Key_Assumptions_&amp;_Inputs'!$E$74/12,'Key_Assumptions_&amp;_Inputs'!$E$75*12,$F$121),0))*12))</f>
        <v>0</v>
      </c>
      <c r="AB156" s="222">
        <f>-IF('Key_Assumptions_&amp;_Inputs'!$E$11="Panel Leasing",0,IF(AB148=0,0,IF(AB148=1,0,IF(AB148&lt;=('Key_Assumptions_&amp;_Inputs'!$E$75+1),-PMT('Key_Assumptions_&amp;_Inputs'!$E$74/12,'Key_Assumptions_&amp;_Inputs'!$E$75*12,$F$121),0))*12))</f>
        <v>0</v>
      </c>
      <c r="AC156" s="222">
        <f>-IF('Key_Assumptions_&amp;_Inputs'!$E$11="Panel Leasing",0,IF(AC148=0,0,IF(AC148=1,0,IF(AC148&lt;=('Key_Assumptions_&amp;_Inputs'!$E$75+1),-PMT('Key_Assumptions_&amp;_Inputs'!$E$74/12,'Key_Assumptions_&amp;_Inputs'!$E$75*12,$F$121),0))*12))</f>
        <v>0</v>
      </c>
      <c r="AD156" s="223">
        <f>-IF('Key_Assumptions_&amp;_Inputs'!$E$11="Panel Leasing",0,IF(AD148=0,0,IF(AD148=1,0,IF(AD148&lt;=('Key_Assumptions_&amp;_Inputs'!$E$75+1),-PMT('Key_Assumptions_&amp;_Inputs'!$E$74/12,'Key_Assumptions_&amp;_Inputs'!$E$75*12,$F$121),0))*12))</f>
        <v>0</v>
      </c>
      <c r="AE156" s="433">
        <f t="shared" si="165"/>
        <v>0</v>
      </c>
    </row>
    <row r="157" spans="2:31" x14ac:dyDescent="0.25">
      <c r="B157" s="132" t="s">
        <v>205</v>
      </c>
      <c r="C157" s="133"/>
      <c r="D157" s="89" t="s">
        <v>0</v>
      </c>
      <c r="E157" s="173">
        <f>SUM(E155:E156)</f>
        <v>0</v>
      </c>
      <c r="F157" s="173">
        <f t="shared" ref="F157:AD157" si="166">SUM(F155:F156)</f>
        <v>0</v>
      </c>
      <c r="G157" s="173">
        <f t="shared" si="166"/>
        <v>0</v>
      </c>
      <c r="H157" s="173">
        <f t="shared" si="166"/>
        <v>0</v>
      </c>
      <c r="I157" s="173">
        <f t="shared" si="166"/>
        <v>0</v>
      </c>
      <c r="J157" s="173">
        <f t="shared" si="166"/>
        <v>0</v>
      </c>
      <c r="K157" s="173">
        <f t="shared" si="166"/>
        <v>0</v>
      </c>
      <c r="L157" s="173">
        <f t="shared" si="166"/>
        <v>0</v>
      </c>
      <c r="M157" s="173">
        <f t="shared" si="166"/>
        <v>0</v>
      </c>
      <c r="N157" s="173">
        <f t="shared" si="166"/>
        <v>0</v>
      </c>
      <c r="O157" s="173">
        <f t="shared" si="166"/>
        <v>0</v>
      </c>
      <c r="P157" s="173">
        <f t="shared" si="166"/>
        <v>0</v>
      </c>
      <c r="Q157" s="173">
        <f t="shared" si="166"/>
        <v>0</v>
      </c>
      <c r="R157" s="173">
        <f t="shared" si="166"/>
        <v>0</v>
      </c>
      <c r="S157" s="173">
        <f t="shared" si="166"/>
        <v>0</v>
      </c>
      <c r="T157" s="173">
        <f t="shared" si="166"/>
        <v>0</v>
      </c>
      <c r="U157" s="173">
        <f t="shared" si="166"/>
        <v>0</v>
      </c>
      <c r="V157" s="173">
        <f t="shared" si="166"/>
        <v>0</v>
      </c>
      <c r="W157" s="173">
        <f t="shared" si="166"/>
        <v>0</v>
      </c>
      <c r="X157" s="173">
        <f t="shared" si="166"/>
        <v>0</v>
      </c>
      <c r="Y157" s="173">
        <f t="shared" si="166"/>
        <v>0</v>
      </c>
      <c r="Z157" s="173">
        <f t="shared" si="166"/>
        <v>0</v>
      </c>
      <c r="AA157" s="173">
        <f t="shared" si="166"/>
        <v>0</v>
      </c>
      <c r="AB157" s="173">
        <f t="shared" si="166"/>
        <v>0</v>
      </c>
      <c r="AC157" s="173">
        <f t="shared" si="166"/>
        <v>0</v>
      </c>
      <c r="AD157" s="186">
        <f t="shared" si="166"/>
        <v>0</v>
      </c>
      <c r="AE157" s="221">
        <f t="shared" si="165"/>
        <v>0</v>
      </c>
    </row>
    <row r="158" spans="2:31" x14ac:dyDescent="0.25">
      <c r="B158" s="132"/>
      <c r="C158" s="133"/>
      <c r="D158" s="89"/>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86"/>
      <c r="AE158" s="221"/>
    </row>
    <row r="159" spans="2:31" x14ac:dyDescent="0.25">
      <c r="B159" s="134" t="s">
        <v>29</v>
      </c>
      <c r="C159" s="133"/>
      <c r="D159" s="89"/>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86"/>
      <c r="AE159" s="221"/>
    </row>
    <row r="160" spans="2:31" x14ac:dyDescent="0.25">
      <c r="B160" s="137" t="s">
        <v>264</v>
      </c>
      <c r="C160" s="133"/>
      <c r="D160" s="89" t="s">
        <v>0</v>
      </c>
      <c r="E160" s="173">
        <v>0</v>
      </c>
      <c r="F160" s="173">
        <f>IF('Key_Assumptions_&amp;_Inputs'!$E$11="Panel Leasing",'Key_Assumptions_&amp;_Inputs'!$J$62*'Key_Assumptions_&amp;_Inputs'!$E$22*12,IF(Community_Solar_Business_Case!F148=1,'Key_Assumptions_&amp;_Inputs'!$J$62*'Key_Assumptions_&amp;_Inputs'!$E$22,0))</f>
        <v>165.6</v>
      </c>
      <c r="G160" s="173">
        <f>IF('Key_Assumptions_&amp;_Inputs'!$E$11="Panel Leasing",'Key_Assumptions_&amp;_Inputs'!$J$62*'Key_Assumptions_&amp;_Inputs'!$E$22*12,IF(Community_Solar_Business_Case!G148=1,'Key_Assumptions_&amp;_Inputs'!$J$62*'Key_Assumptions_&amp;_Inputs'!$E$22,0))</f>
        <v>165.6</v>
      </c>
      <c r="H160" s="173">
        <f>IF('Key_Assumptions_&amp;_Inputs'!$E$11="Panel Leasing",'Key_Assumptions_&amp;_Inputs'!$J$62*'Key_Assumptions_&amp;_Inputs'!$E$22*12,IF(Community_Solar_Business_Case!H148=1,'Key_Assumptions_&amp;_Inputs'!$J$62*'Key_Assumptions_&amp;_Inputs'!$E$22,0))</f>
        <v>165.6</v>
      </c>
      <c r="I160" s="173">
        <f>IF('Key_Assumptions_&amp;_Inputs'!$E$11="Panel Leasing",'Key_Assumptions_&amp;_Inputs'!$J$62*'Key_Assumptions_&amp;_Inputs'!$E$22*12,IF(Community_Solar_Business_Case!I148=1,'Key_Assumptions_&amp;_Inputs'!$J$62*'Key_Assumptions_&amp;_Inputs'!$E$22,0))</f>
        <v>165.6</v>
      </c>
      <c r="J160" s="173">
        <f>IF('Key_Assumptions_&amp;_Inputs'!$E$11="Panel Leasing",'Key_Assumptions_&amp;_Inputs'!$J$62*'Key_Assumptions_&amp;_Inputs'!$E$22*12,IF(Community_Solar_Business_Case!J148=1,'Key_Assumptions_&amp;_Inputs'!$J$62*'Key_Assumptions_&amp;_Inputs'!$E$22,0))</f>
        <v>165.6</v>
      </c>
      <c r="K160" s="173">
        <f>IF('Key_Assumptions_&amp;_Inputs'!$E$11="Panel Leasing",'Key_Assumptions_&amp;_Inputs'!$J$62*'Key_Assumptions_&amp;_Inputs'!$E$22*12,IF(Community_Solar_Business_Case!K148=1,'Key_Assumptions_&amp;_Inputs'!$J$62*'Key_Assumptions_&amp;_Inputs'!$E$22,0))</f>
        <v>165.6</v>
      </c>
      <c r="L160" s="173">
        <f>IF('Key_Assumptions_&amp;_Inputs'!$E$11="Panel Leasing",'Key_Assumptions_&amp;_Inputs'!$J$62*'Key_Assumptions_&amp;_Inputs'!$E$22*12,IF(Community_Solar_Business_Case!L148=1,'Key_Assumptions_&amp;_Inputs'!$J$62*'Key_Assumptions_&amp;_Inputs'!$E$22,0))</f>
        <v>165.6</v>
      </c>
      <c r="M160" s="173">
        <f>IF('Key_Assumptions_&amp;_Inputs'!$E$11="Panel Leasing",'Key_Assumptions_&amp;_Inputs'!$J$62*'Key_Assumptions_&amp;_Inputs'!$E$22*12,IF(Community_Solar_Business_Case!M148=1,'Key_Assumptions_&amp;_Inputs'!$J$62*'Key_Assumptions_&amp;_Inputs'!$E$22,0))</f>
        <v>165.6</v>
      </c>
      <c r="N160" s="173">
        <f>IF('Key_Assumptions_&amp;_Inputs'!$E$11="Panel Leasing",'Key_Assumptions_&amp;_Inputs'!$J$62*'Key_Assumptions_&amp;_Inputs'!$E$22*12,IF(Community_Solar_Business_Case!N148=1,'Key_Assumptions_&amp;_Inputs'!$J$62*'Key_Assumptions_&amp;_Inputs'!$E$22,0))</f>
        <v>165.6</v>
      </c>
      <c r="O160" s="173">
        <f>IF('Key_Assumptions_&amp;_Inputs'!$E$11="Panel Leasing",'Key_Assumptions_&amp;_Inputs'!$J$62*'Key_Assumptions_&amp;_Inputs'!$E$22*12,IF(Community_Solar_Business_Case!O148=1,'Key_Assumptions_&amp;_Inputs'!$J$62*'Key_Assumptions_&amp;_Inputs'!$E$22,0))</f>
        <v>165.6</v>
      </c>
      <c r="P160" s="173">
        <f>IF('Key_Assumptions_&amp;_Inputs'!$E$11="Panel Leasing",'Key_Assumptions_&amp;_Inputs'!$J$62*'Key_Assumptions_&amp;_Inputs'!$E$22*12,IF(Community_Solar_Business_Case!P148=1,'Key_Assumptions_&amp;_Inputs'!$J$62*'Key_Assumptions_&amp;_Inputs'!$E$22,0))</f>
        <v>165.6</v>
      </c>
      <c r="Q160" s="173">
        <f>IF('Key_Assumptions_&amp;_Inputs'!$E$11="Panel Leasing",'Key_Assumptions_&amp;_Inputs'!$J$62*'Key_Assumptions_&amp;_Inputs'!$E$22*12,IF(Community_Solar_Business_Case!Q148=1,'Key_Assumptions_&amp;_Inputs'!$J$62*'Key_Assumptions_&amp;_Inputs'!$E$22,0))</f>
        <v>165.6</v>
      </c>
      <c r="R160" s="173">
        <f>IF('Key_Assumptions_&amp;_Inputs'!$E$11="Panel Leasing",'Key_Assumptions_&amp;_Inputs'!$J$62*'Key_Assumptions_&amp;_Inputs'!$E$22*12,IF(Community_Solar_Business_Case!R148=1,'Key_Assumptions_&amp;_Inputs'!$J$62*'Key_Assumptions_&amp;_Inputs'!$E$22,0))</f>
        <v>165.6</v>
      </c>
      <c r="S160" s="173">
        <f>IF('Key_Assumptions_&amp;_Inputs'!$E$11="Panel Leasing",'Key_Assumptions_&amp;_Inputs'!$J$62*'Key_Assumptions_&amp;_Inputs'!$E$22*12,IF(Community_Solar_Business_Case!S148=1,'Key_Assumptions_&amp;_Inputs'!$J$62*'Key_Assumptions_&amp;_Inputs'!$E$22,0))</f>
        <v>165.6</v>
      </c>
      <c r="T160" s="173">
        <f>IF('Key_Assumptions_&amp;_Inputs'!$E$11="Panel Leasing",'Key_Assumptions_&amp;_Inputs'!$J$62*'Key_Assumptions_&amp;_Inputs'!$E$22*12,IF(Community_Solar_Business_Case!T148=1,'Key_Assumptions_&amp;_Inputs'!$J$62*'Key_Assumptions_&amp;_Inputs'!$E$22,0))</f>
        <v>165.6</v>
      </c>
      <c r="U160" s="173">
        <f>IF('Key_Assumptions_&amp;_Inputs'!$E$11="Panel Leasing",'Key_Assumptions_&amp;_Inputs'!$J$62*'Key_Assumptions_&amp;_Inputs'!$E$22*12,IF(Community_Solar_Business_Case!U148=1,'Key_Assumptions_&amp;_Inputs'!$J$62*'Key_Assumptions_&amp;_Inputs'!$E$22,0))</f>
        <v>165.6</v>
      </c>
      <c r="V160" s="173">
        <f>IF('Key_Assumptions_&amp;_Inputs'!$E$11="Panel Leasing",'Key_Assumptions_&amp;_Inputs'!$J$62*'Key_Assumptions_&amp;_Inputs'!$E$22*12,IF(Community_Solar_Business_Case!V148=1,'Key_Assumptions_&amp;_Inputs'!$J$62*'Key_Assumptions_&amp;_Inputs'!$E$22,0))</f>
        <v>165.6</v>
      </c>
      <c r="W160" s="173">
        <f>IF('Key_Assumptions_&amp;_Inputs'!$E$11="Panel Leasing",'Key_Assumptions_&amp;_Inputs'!$J$62*'Key_Assumptions_&amp;_Inputs'!$E$22*12,IF(Community_Solar_Business_Case!W148=1,'Key_Assumptions_&amp;_Inputs'!$J$62*'Key_Assumptions_&amp;_Inputs'!$E$22,0))</f>
        <v>165.6</v>
      </c>
      <c r="X160" s="173">
        <f>IF('Key_Assumptions_&amp;_Inputs'!$E$11="Panel Leasing",'Key_Assumptions_&amp;_Inputs'!$J$62*'Key_Assumptions_&amp;_Inputs'!$E$22*12,IF(Community_Solar_Business_Case!X148=1,'Key_Assumptions_&amp;_Inputs'!$J$62*'Key_Assumptions_&amp;_Inputs'!$E$22,0))</f>
        <v>165.6</v>
      </c>
      <c r="Y160" s="173">
        <f>IF('Key_Assumptions_&amp;_Inputs'!$E$11="Panel Leasing",'Key_Assumptions_&amp;_Inputs'!$J$62*'Key_Assumptions_&amp;_Inputs'!$E$22*12,IF(Community_Solar_Business_Case!Y148=1,'Key_Assumptions_&amp;_Inputs'!$J$62*'Key_Assumptions_&amp;_Inputs'!$E$22,0))</f>
        <v>165.6</v>
      </c>
      <c r="Z160" s="173">
        <f>IF('Key_Assumptions_&amp;_Inputs'!$E$11="Panel Leasing",'Key_Assumptions_&amp;_Inputs'!$J$62*'Key_Assumptions_&amp;_Inputs'!$E$22*12,IF(Community_Solar_Business_Case!Z148=1,'Key_Assumptions_&amp;_Inputs'!$J$62*'Key_Assumptions_&amp;_Inputs'!$E$22,0))</f>
        <v>165.6</v>
      </c>
      <c r="AA160" s="173">
        <f>IF('Key_Assumptions_&amp;_Inputs'!$E$11="Panel Leasing",'Key_Assumptions_&amp;_Inputs'!$J$62*'Key_Assumptions_&amp;_Inputs'!$E$22*12,IF(Community_Solar_Business_Case!AA148=1,'Key_Assumptions_&amp;_Inputs'!$J$62*'Key_Assumptions_&amp;_Inputs'!$E$22,0))</f>
        <v>165.6</v>
      </c>
      <c r="AB160" s="173">
        <f>IF('Key_Assumptions_&amp;_Inputs'!$E$11="Panel Leasing",'Key_Assumptions_&amp;_Inputs'!$J$62*'Key_Assumptions_&amp;_Inputs'!$E$22*12,IF(Community_Solar_Business_Case!AB148=1,'Key_Assumptions_&amp;_Inputs'!$J$62*'Key_Assumptions_&amp;_Inputs'!$E$22,0))</f>
        <v>165.6</v>
      </c>
      <c r="AC160" s="173">
        <f>IF('Key_Assumptions_&amp;_Inputs'!$E$11="Panel Leasing",'Key_Assumptions_&amp;_Inputs'!$J$62*'Key_Assumptions_&amp;_Inputs'!$E$22*12,IF(Community_Solar_Business_Case!AC148=1,'Key_Assumptions_&amp;_Inputs'!$J$62*'Key_Assumptions_&amp;_Inputs'!$E$22,0))</f>
        <v>165.6</v>
      </c>
      <c r="AD160" s="186">
        <f>IF('Key_Assumptions_&amp;_Inputs'!$E$11="Panel Leasing",'Key_Assumptions_&amp;_Inputs'!$J$62*'Key_Assumptions_&amp;_Inputs'!$E$22*12,IF(Community_Solar_Business_Case!AD148=1,'Key_Assumptions_&amp;_Inputs'!$J$62*'Key_Assumptions_&amp;_Inputs'!$E$22,0))</f>
        <v>165.6</v>
      </c>
      <c r="AE160" s="221"/>
    </row>
    <row r="161" spans="2:31" s="64" customFormat="1" x14ac:dyDescent="0.25">
      <c r="B161" s="132" t="s">
        <v>28</v>
      </c>
      <c r="C161" s="133"/>
      <c r="D161" s="96" t="s">
        <v>0</v>
      </c>
      <c r="E161" s="224">
        <v>0</v>
      </c>
      <c r="F161" s="224">
        <f>Generation_Rates!E70/'Key_Assumptions_&amp;_Inputs'!$E$35*'Key_Assumptions_&amp;_Inputs'!$E$22</f>
        <v>398.04566847917107</v>
      </c>
      <c r="G161" s="224">
        <f>Generation_Rates!F70/'Key_Assumptions_&amp;_Inputs'!$E$35*'Key_Assumptions_&amp;_Inputs'!$E$22</f>
        <v>407.0657813725777</v>
      </c>
      <c r="H161" s="224">
        <f>Generation_Rates!G70/'Key_Assumptions_&amp;_Inputs'!$E$35*'Key_Assumptions_&amp;_Inputs'!$E$22</f>
        <v>416.2797869284301</v>
      </c>
      <c r="I161" s="224">
        <f>Generation_Rates!H70/'Key_Assumptions_&amp;_Inputs'!$E$35*'Key_Assumptions_&amp;_Inputs'!$E$22</f>
        <v>425.69149447471204</v>
      </c>
      <c r="J161" s="224">
        <f>Generation_Rates!I70/'Key_Assumptions_&amp;_Inputs'!$E$35*'Key_Assumptions_&amp;_Inputs'!$E$22</f>
        <v>435.30477529003741</v>
      </c>
      <c r="K161" s="224">
        <f>Generation_Rates!J70/'Key_Assumptions_&amp;_Inputs'!$E$35*'Key_Assumptions_&amp;_Inputs'!$E$22</f>
        <v>445.12356310410496</v>
      </c>
      <c r="L161" s="224">
        <f>Generation_Rates!K70/'Key_Assumptions_&amp;_Inputs'!$E$35*'Key_Assumptions_&amp;_Inputs'!$E$22</f>
        <v>455.15185457809969</v>
      </c>
      <c r="M161" s="224">
        <f>Generation_Rates!L70/'Key_Assumptions_&amp;_Inputs'!$E$35*'Key_Assumptions_&amp;_Inputs'!$E$22</f>
        <v>465.39370976353899</v>
      </c>
      <c r="N161" s="224">
        <f>Generation_Rates!M70/'Key_Assumptions_&amp;_Inputs'!$E$35*'Key_Assumptions_&amp;_Inputs'!$E$22</f>
        <v>475.85325253799675</v>
      </c>
      <c r="O161" s="224">
        <f>Generation_Rates!N70/'Key_Assumptions_&amp;_Inputs'!$E$35*'Key_Assumptions_&amp;_Inputs'!$E$22</f>
        <v>486.53467101606066</v>
      </c>
      <c r="P161" s="224">
        <f>Generation_Rates!O70/'Key_Assumptions_&amp;_Inputs'!$E$35*'Key_Assumptions_&amp;_Inputs'!$E$22</f>
        <v>497.44221793381337</v>
      </c>
      <c r="Q161" s="224">
        <f>Generation_Rates!P70/'Key_Assumptions_&amp;_Inputs'!$E$35*'Key_Assumptions_&amp;_Inputs'!$E$22</f>
        <v>508.58021100504527</v>
      </c>
      <c r="R161" s="224">
        <f>Generation_Rates!Q70/'Key_Assumptions_&amp;_Inputs'!$E$35*'Key_Assumptions_&amp;_Inputs'!$E$22</f>
        <v>519.95303324732959</v>
      </c>
      <c r="S161" s="224">
        <f>Generation_Rates!R70/'Key_Assumptions_&amp;_Inputs'!$E$35*'Key_Assumptions_&amp;_Inputs'!$E$22</f>
        <v>531.56513327601158</v>
      </c>
      <c r="T161" s="224">
        <f>Generation_Rates!S70/'Key_Assumptions_&amp;_Inputs'!$E$35*'Key_Assumptions_&amp;_Inputs'!$E$22</f>
        <v>543.42102556407372</v>
      </c>
      <c r="U161" s="224">
        <f>Generation_Rates!T70/'Key_Assumptions_&amp;_Inputs'!$E$35*'Key_Assumptions_&amp;_Inputs'!$E$22</f>
        <v>555.52529066575084</v>
      </c>
      <c r="V161" s="224">
        <f>Generation_Rates!U70/'Key_Assumptions_&amp;_Inputs'!$E$35*'Key_Assumptions_&amp;_Inputs'!$E$22</f>
        <v>567.88257540168456</v>
      </c>
      <c r="W161" s="224">
        <f>Generation_Rates!V70/'Key_Assumptions_&amp;_Inputs'!$E$35*'Key_Assumptions_&amp;_Inputs'!$E$22</f>
        <v>580.49759300329777</v>
      </c>
      <c r="X161" s="224">
        <f>Generation_Rates!W70/'Key_Assumptions_&amp;_Inputs'!$E$35*'Key_Assumptions_&amp;_Inputs'!$E$22</f>
        <v>593.37512321398731</v>
      </c>
      <c r="Y161" s="224">
        <f>Generation_Rates!X70/'Key_Assumptions_&amp;_Inputs'!$E$35*'Key_Assumptions_&amp;_Inputs'!$E$22</f>
        <v>606.52001234461454</v>
      </c>
      <c r="Z161" s="224">
        <f>Generation_Rates!Y70/'Key_Assumptions_&amp;_Inputs'!$E$35*'Key_Assumptions_&amp;_Inputs'!$E$22</f>
        <v>619.93717328067999</v>
      </c>
      <c r="AA161" s="224">
        <f>Generation_Rates!Z70/'Key_Assumptions_&amp;_Inputs'!$E$35*'Key_Assumptions_&amp;_Inputs'!$E$22</f>
        <v>633.63158543845043</v>
      </c>
      <c r="AB161" s="224">
        <f>Generation_Rates!AA70/'Key_Assumptions_&amp;_Inputs'!$E$35*'Key_Assumptions_&amp;_Inputs'!$E$22</f>
        <v>647.60829466719429</v>
      </c>
      <c r="AC161" s="224">
        <f>Generation_Rates!AB70/'Key_Assumptions_&amp;_Inputs'!$E$35*'Key_Assumptions_&amp;_Inputs'!$E$22</f>
        <v>661.87241309456635</v>
      </c>
      <c r="AD161" s="225">
        <f>Generation_Rates!AC70/'Key_Assumptions_&amp;_Inputs'!$E$35*'Key_Assumptions_&amp;_Inputs'!$E$22</f>
        <v>676.42911891204926</v>
      </c>
      <c r="AE161" s="433">
        <f t="shared" ref="AE161:AE162" si="167">SUM(E161:AD161)</f>
        <v>13154.685358593277</v>
      </c>
    </row>
    <row r="162" spans="2:31" x14ac:dyDescent="0.25">
      <c r="B162" s="135" t="s">
        <v>30</v>
      </c>
      <c r="C162" s="136"/>
      <c r="D162" s="95" t="s">
        <v>0</v>
      </c>
      <c r="E162" s="226">
        <f>SUM(E160:E161)</f>
        <v>0</v>
      </c>
      <c r="F162" s="226">
        <f t="shared" ref="F162:AD162" si="168">SUM(F160:F161)</f>
        <v>563.64566847917104</v>
      </c>
      <c r="G162" s="226">
        <f t="shared" si="168"/>
        <v>572.66578137257773</v>
      </c>
      <c r="H162" s="226">
        <f t="shared" si="168"/>
        <v>581.87978692843012</v>
      </c>
      <c r="I162" s="226">
        <f t="shared" si="168"/>
        <v>591.29149447471207</v>
      </c>
      <c r="J162" s="226">
        <f t="shared" si="168"/>
        <v>600.90477529003738</v>
      </c>
      <c r="K162" s="226">
        <f t="shared" si="168"/>
        <v>610.72356310410498</v>
      </c>
      <c r="L162" s="226">
        <f t="shared" si="168"/>
        <v>620.75185457809971</v>
      </c>
      <c r="M162" s="226">
        <f t="shared" si="168"/>
        <v>630.99370976353896</v>
      </c>
      <c r="N162" s="226">
        <f t="shared" si="168"/>
        <v>641.45325253799672</v>
      </c>
      <c r="O162" s="226">
        <f t="shared" si="168"/>
        <v>652.13467101606068</v>
      </c>
      <c r="P162" s="226">
        <f t="shared" si="168"/>
        <v>663.04221793381339</v>
      </c>
      <c r="Q162" s="226">
        <f t="shared" si="168"/>
        <v>674.18021100504529</v>
      </c>
      <c r="R162" s="226">
        <f t="shared" si="168"/>
        <v>685.55303324732961</v>
      </c>
      <c r="S162" s="226">
        <f t="shared" si="168"/>
        <v>697.1651332760116</v>
      </c>
      <c r="T162" s="226">
        <f t="shared" si="168"/>
        <v>709.02102556407374</v>
      </c>
      <c r="U162" s="226">
        <f t="shared" si="168"/>
        <v>721.12529066575087</v>
      </c>
      <c r="V162" s="226">
        <f t="shared" si="168"/>
        <v>733.48257540168458</v>
      </c>
      <c r="W162" s="226">
        <f t="shared" si="168"/>
        <v>746.09759300329779</v>
      </c>
      <c r="X162" s="226">
        <f t="shared" si="168"/>
        <v>758.97512321398733</v>
      </c>
      <c r="Y162" s="226">
        <f t="shared" si="168"/>
        <v>772.12001234461457</v>
      </c>
      <c r="Z162" s="226">
        <f t="shared" si="168"/>
        <v>785.53717328068001</v>
      </c>
      <c r="AA162" s="226">
        <f t="shared" si="168"/>
        <v>799.23158543845045</v>
      </c>
      <c r="AB162" s="226">
        <f t="shared" si="168"/>
        <v>813.20829466719431</v>
      </c>
      <c r="AC162" s="226">
        <f t="shared" si="168"/>
        <v>827.47241309456638</v>
      </c>
      <c r="AD162" s="405">
        <f t="shared" si="168"/>
        <v>842.02911891204928</v>
      </c>
      <c r="AE162" s="221">
        <f t="shared" si="167"/>
        <v>17294.68535859328</v>
      </c>
    </row>
    <row r="163" spans="2:31" ht="15.75" thickBot="1" x14ac:dyDescent="0.3">
      <c r="B163" s="132"/>
      <c r="C163" s="133"/>
      <c r="D163" s="89"/>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232"/>
      <c r="AE163" s="434"/>
    </row>
    <row r="164" spans="2:31" x14ac:dyDescent="0.25">
      <c r="B164" s="146" t="s">
        <v>8</v>
      </c>
      <c r="C164" s="131"/>
      <c r="D164" s="101" t="s">
        <v>0</v>
      </c>
      <c r="E164" s="229">
        <f>E152+E157+E162</f>
        <v>0</v>
      </c>
      <c r="F164" s="229">
        <f t="shared" ref="F164:AD164" si="169">F152+F157+F162</f>
        <v>232.44566847917105</v>
      </c>
      <c r="G164" s="229">
        <f t="shared" si="169"/>
        <v>241.46578137257774</v>
      </c>
      <c r="H164" s="229">
        <f t="shared" si="169"/>
        <v>250.67978692843013</v>
      </c>
      <c r="I164" s="229">
        <f t="shared" si="169"/>
        <v>260.09149447471208</v>
      </c>
      <c r="J164" s="229">
        <f t="shared" si="169"/>
        <v>269.70477529003739</v>
      </c>
      <c r="K164" s="229">
        <f t="shared" si="169"/>
        <v>279.52356310410499</v>
      </c>
      <c r="L164" s="229">
        <f t="shared" si="169"/>
        <v>289.55185457809972</v>
      </c>
      <c r="M164" s="229">
        <f t="shared" si="169"/>
        <v>299.79370976353897</v>
      </c>
      <c r="N164" s="229">
        <f t="shared" si="169"/>
        <v>310.25325253799673</v>
      </c>
      <c r="O164" s="229">
        <f t="shared" si="169"/>
        <v>320.93467101606069</v>
      </c>
      <c r="P164" s="229">
        <f t="shared" si="169"/>
        <v>331.8422179338134</v>
      </c>
      <c r="Q164" s="229">
        <f t="shared" si="169"/>
        <v>342.98021100504531</v>
      </c>
      <c r="R164" s="229">
        <f t="shared" si="169"/>
        <v>354.35303324732962</v>
      </c>
      <c r="S164" s="229">
        <f t="shared" si="169"/>
        <v>365.96513327601161</v>
      </c>
      <c r="T164" s="229">
        <f t="shared" si="169"/>
        <v>377.82102556407375</v>
      </c>
      <c r="U164" s="229">
        <f t="shared" si="169"/>
        <v>389.92529066575088</v>
      </c>
      <c r="V164" s="229">
        <f t="shared" si="169"/>
        <v>402.2825754016846</v>
      </c>
      <c r="W164" s="229">
        <f t="shared" si="169"/>
        <v>414.8975930032978</v>
      </c>
      <c r="X164" s="229">
        <f t="shared" si="169"/>
        <v>427.77512321398734</v>
      </c>
      <c r="Y164" s="229">
        <f t="shared" si="169"/>
        <v>440.92001234461458</v>
      </c>
      <c r="Z164" s="229">
        <f t="shared" si="169"/>
        <v>454.33717328068002</v>
      </c>
      <c r="AA164" s="229">
        <f t="shared" si="169"/>
        <v>468.03158543845046</v>
      </c>
      <c r="AB164" s="229">
        <f t="shared" si="169"/>
        <v>482.00829466719432</v>
      </c>
      <c r="AC164" s="229">
        <f t="shared" si="169"/>
        <v>496.27241309456639</v>
      </c>
      <c r="AD164" s="230">
        <f t="shared" si="169"/>
        <v>510.8291189120493</v>
      </c>
      <c r="AE164" s="221">
        <f t="shared" ref="AE164" si="170">SUM(E164:AD164)</f>
        <v>9014.6853585932804</v>
      </c>
    </row>
    <row r="165" spans="2:31" ht="15.75" thickBot="1" x14ac:dyDescent="0.3">
      <c r="B165" s="147" t="s">
        <v>9</v>
      </c>
      <c r="C165" s="145"/>
      <c r="D165" s="100" t="s">
        <v>0</v>
      </c>
      <c r="E165" s="231">
        <f>E164</f>
        <v>0</v>
      </c>
      <c r="F165" s="231">
        <f>E165+F164</f>
        <v>232.44566847917105</v>
      </c>
      <c r="G165" s="231">
        <f t="shared" ref="G165" si="171">F165+G164</f>
        <v>473.91144985174878</v>
      </c>
      <c r="H165" s="231">
        <f t="shared" ref="H165" si="172">G165+H164</f>
        <v>724.59123678017886</v>
      </c>
      <c r="I165" s="231">
        <f t="shared" ref="I165" si="173">H165+I164</f>
        <v>984.682731254891</v>
      </c>
      <c r="J165" s="231">
        <f t="shared" ref="J165" si="174">I165+J164</f>
        <v>1254.3875065449283</v>
      </c>
      <c r="K165" s="231">
        <f t="shared" ref="K165" si="175">J165+K164</f>
        <v>1533.9110696490334</v>
      </c>
      <c r="L165" s="231">
        <f t="shared" ref="L165" si="176">K165+L164</f>
        <v>1823.462924227133</v>
      </c>
      <c r="M165" s="231">
        <f t="shared" ref="M165" si="177">L165+M164</f>
        <v>2123.2566339906721</v>
      </c>
      <c r="N165" s="231">
        <f t="shared" ref="N165" si="178">M165+N164</f>
        <v>2433.5098865286686</v>
      </c>
      <c r="O165" s="231">
        <f t="shared" ref="O165" si="179">N165+O164</f>
        <v>2754.4445575447294</v>
      </c>
      <c r="P165" s="231">
        <f t="shared" ref="P165" si="180">O165+P164</f>
        <v>3086.2867754785429</v>
      </c>
      <c r="Q165" s="231">
        <f t="shared" ref="Q165" si="181">P165+Q164</f>
        <v>3429.2669864835884</v>
      </c>
      <c r="R165" s="231">
        <f t="shared" ref="R165" si="182">Q165+R164</f>
        <v>3783.6200197309181</v>
      </c>
      <c r="S165" s="231">
        <f t="shared" ref="S165" si="183">R165+S164</f>
        <v>4149.5851530069294</v>
      </c>
      <c r="T165" s="231">
        <f t="shared" ref="T165" si="184">S165+T164</f>
        <v>4527.4061785710028</v>
      </c>
      <c r="U165" s="231">
        <f t="shared" ref="U165" si="185">T165+U164</f>
        <v>4917.3314692367539</v>
      </c>
      <c r="V165" s="231">
        <f t="shared" ref="V165" si="186">U165+V164</f>
        <v>5319.6140446384388</v>
      </c>
      <c r="W165" s="231">
        <f t="shared" ref="W165" si="187">V165+W164</f>
        <v>5734.5116376417363</v>
      </c>
      <c r="X165" s="231">
        <f t="shared" ref="X165" si="188">W165+X164</f>
        <v>6162.2867608557235</v>
      </c>
      <c r="Y165" s="231">
        <f t="shared" ref="Y165" si="189">X165+Y164</f>
        <v>6603.2067732003379</v>
      </c>
      <c r="Z165" s="231">
        <f t="shared" ref="Z165" si="190">Y165+Z164</f>
        <v>7057.5439464810179</v>
      </c>
      <c r="AA165" s="231">
        <f t="shared" ref="AA165" si="191">Z165+AA164</f>
        <v>7525.5755319194686</v>
      </c>
      <c r="AB165" s="231">
        <f t="shared" ref="AB165" si="192">AA165+AB164</f>
        <v>8007.5838265866632</v>
      </c>
      <c r="AC165" s="231">
        <f t="shared" ref="AC165" si="193">AB165+AC164</f>
        <v>8503.8562396812304</v>
      </c>
      <c r="AD165" s="232">
        <f t="shared" ref="AD165" si="194">AC165+AD164</f>
        <v>9014.6853585932804</v>
      </c>
      <c r="AE165" s="233"/>
    </row>
    <row r="166" spans="2:31" ht="15.75" thickBot="1" x14ac:dyDescent="0.3">
      <c r="B166" s="147" t="s">
        <v>63</v>
      </c>
      <c r="C166" s="145"/>
      <c r="D166" s="100"/>
      <c r="E166" s="234">
        <f>SUM(F166:Y166)</f>
        <v>0</v>
      </c>
      <c r="F166" s="234">
        <f>IF(F165&lt;0,1,IF(AND(F165&gt;0,E165&lt;0),(-E165/(F165-E165)),0))</f>
        <v>0</v>
      </c>
      <c r="G166" s="234">
        <f>IF(F166=0,0,IF(G165&lt;0,1,IF(AND(G165&gt;0,F165&lt;0),(-F165/(G165-F165)),0)))</f>
        <v>0</v>
      </c>
      <c r="H166" s="234">
        <f t="shared" ref="H166" si="195">IF(G166=0,0,IF(H165&lt;0,1,IF(AND(H165&gt;0,G165&lt;0),(-G165/(H165-G165)),0)))</f>
        <v>0</v>
      </c>
      <c r="I166" s="234">
        <f t="shared" ref="I166" si="196">IF(H166=0,0,IF(I165&lt;0,1,IF(AND(I165&gt;0,H165&lt;0),(-H165/(I165-H165)),0)))</f>
        <v>0</v>
      </c>
      <c r="J166" s="234">
        <f t="shared" ref="J166" si="197">IF(I166=0,0,IF(J165&lt;0,1,IF(AND(J165&gt;0,I165&lt;0),(-I165/(J165-I165)),0)))</f>
        <v>0</v>
      </c>
      <c r="K166" s="234">
        <f t="shared" ref="K166" si="198">IF(J166=0,0,IF(K165&lt;0,1,IF(AND(K165&gt;0,J165&lt;0),(-J165/(K165-J165)),0)))</f>
        <v>0</v>
      </c>
      <c r="L166" s="234">
        <f t="shared" ref="L166" si="199">IF(K166=0,0,IF(L165&lt;0,1,IF(AND(L165&gt;0,K165&lt;0),(-K165/(L165-K165)),0)))</f>
        <v>0</v>
      </c>
      <c r="M166" s="234">
        <f t="shared" ref="M166" si="200">IF(L166=0,0,IF(M165&lt;0,1,IF(AND(M165&gt;0,L165&lt;0),(-L165/(M165-L165)),0)))</f>
        <v>0</v>
      </c>
      <c r="N166" s="234">
        <f t="shared" ref="N166" si="201">IF(M166=0,0,IF(N165&lt;0,1,IF(AND(N165&gt;0,M165&lt;0),(-M165/(N165-M165)),0)))</f>
        <v>0</v>
      </c>
      <c r="O166" s="234">
        <f t="shared" ref="O166" si="202">IF(N166=0,0,IF(O165&lt;0,1,IF(AND(O165&gt;0,N165&lt;0),(-N165/(O165-N165)),0)))</f>
        <v>0</v>
      </c>
      <c r="P166" s="234">
        <f t="shared" ref="P166" si="203">IF(O166=0,0,IF(P165&lt;0,1,IF(AND(P165&gt;0,O165&lt;0),(-O165/(P165-O165)),0)))</f>
        <v>0</v>
      </c>
      <c r="Q166" s="234">
        <f t="shared" ref="Q166" si="204">IF(P166=0,0,IF(Q165&lt;0,1,IF(AND(Q165&gt;0,P165&lt;0),(-P165/(Q165-P165)),0)))</f>
        <v>0</v>
      </c>
      <c r="R166" s="234">
        <f t="shared" ref="R166" si="205">IF(Q166=0,0,IF(R165&lt;0,1,IF(AND(R165&gt;0,Q165&lt;0),(-Q165/(R165-Q165)),0)))</f>
        <v>0</v>
      </c>
      <c r="S166" s="234">
        <f t="shared" ref="S166" si="206">IF(R166=0,0,IF(S165&lt;0,1,IF(AND(S165&gt;0,R165&lt;0),(-R165/(S165-R165)),0)))</f>
        <v>0</v>
      </c>
      <c r="T166" s="234">
        <f t="shared" ref="T166" si="207">IF(S166=0,0,IF(T165&lt;0,1,IF(AND(T165&gt;0,S165&lt;0),(-S165/(T165-S165)),0)))</f>
        <v>0</v>
      </c>
      <c r="U166" s="234">
        <f t="shared" ref="U166" si="208">IF(T166=0,0,IF(U165&lt;0,1,IF(AND(U165&gt;0,T165&lt;0),(-T165/(U165-T165)),0)))</f>
        <v>0</v>
      </c>
      <c r="V166" s="234">
        <f t="shared" ref="V166" si="209">IF(U166=0,0,IF(V165&lt;0,1,IF(AND(V165&gt;0,U165&lt;0),(-U165/(V165-U165)),0)))</f>
        <v>0</v>
      </c>
      <c r="W166" s="234">
        <f t="shared" ref="W166" si="210">IF(V166=0,0,IF(W165&lt;0,1,IF(AND(W165&gt;0,V165&lt;0),(-V165/(W165-V165)),0)))</f>
        <v>0</v>
      </c>
      <c r="X166" s="234">
        <f t="shared" ref="X166" si="211">IF(W166=0,0,IF(X165&lt;0,1,IF(AND(X165&gt;0,W165&lt;0),(-W165/(X165-W165)),0)))</f>
        <v>0</v>
      </c>
      <c r="Y166" s="234">
        <f t="shared" ref="Y166" si="212">IF(X166=0,0,IF(Y165&lt;0,1,IF(AND(Y165&gt;0,X165&lt;0),(-X165/(Y165-X165)),0)))</f>
        <v>0</v>
      </c>
      <c r="Z166" s="234">
        <f>IF(Y166=0,0,IF(Z165&lt;0,1,IF(AND(Z165&gt;0,Y165&lt;0),(-Y165/(Z165-Y165)),0)))</f>
        <v>0</v>
      </c>
      <c r="AA166" s="234">
        <f>IF(Z166=0,0,IF(AA165&lt;0,1,IF(AND(AA165&gt;0,Z165&lt;0),(-Z165/(AA165-Z165)),0)))</f>
        <v>0</v>
      </c>
      <c r="AB166" s="234">
        <f>IF(AA166=0,0,IF(AB165&lt;0,1,IF(AND(AB165&gt;0,AA165&lt;0),(-AA165/(AB165-AA165)),0)))</f>
        <v>0</v>
      </c>
      <c r="AC166" s="234">
        <f>IF(AB166=0,0,IF(AC165&lt;0,1,IF(AND(AC165&gt;0,AB165&lt;0),(-AB165/(AC165-AB165)),0)))</f>
        <v>0</v>
      </c>
      <c r="AD166" s="235">
        <f>IF(AC166=0,0,IF(AD165&lt;0,1,IF(AND(AD165&gt;0,AC165&lt;0),(-AC165/(AD165-AC165)),0)))</f>
        <v>0</v>
      </c>
      <c r="AE166" s="233"/>
    </row>
    <row r="168" spans="2:31" x14ac:dyDescent="0.25">
      <c r="B168" s="71"/>
      <c r="C168" s="150" t="s">
        <v>10</v>
      </c>
      <c r="D168" s="157" t="s">
        <v>0</v>
      </c>
      <c r="E168" s="162">
        <f>F164</f>
        <v>232.44566847917105</v>
      </c>
    </row>
    <row r="169" spans="2:31" x14ac:dyDescent="0.25">
      <c r="C169" s="150" t="s">
        <v>11</v>
      </c>
      <c r="D169" s="157" t="s">
        <v>0</v>
      </c>
      <c r="E169" s="162">
        <f>G165</f>
        <v>473.91144985174878</v>
      </c>
    </row>
    <row r="170" spans="2:31" x14ac:dyDescent="0.25">
      <c r="C170" s="1"/>
      <c r="E170" s="5"/>
    </row>
    <row r="171" spans="2:31" x14ac:dyDescent="0.25">
      <c r="C171" s="1"/>
      <c r="D171" s="70"/>
      <c r="E171" s="68" t="s">
        <v>183</v>
      </c>
      <c r="F171" s="68" t="s">
        <v>37</v>
      </c>
    </row>
    <row r="172" spans="2:31" x14ac:dyDescent="0.25">
      <c r="C172" s="150" t="s">
        <v>12</v>
      </c>
      <c r="D172" s="157" t="s">
        <v>0</v>
      </c>
      <c r="E172" s="162">
        <f>SUM(E152:AD152)+SUM(E157:AD157)</f>
        <v>-8279.9999999999982</v>
      </c>
      <c r="F172" s="162">
        <f>E172/'Key_Assumptions_&amp;_Inputs'!$E$18/1000</f>
        <v>-5.8723404255319137E-3</v>
      </c>
      <c r="H172" s="84"/>
    </row>
    <row r="173" spans="2:31" x14ac:dyDescent="0.25">
      <c r="C173" s="150" t="s">
        <v>13</v>
      </c>
      <c r="D173" s="157" t="s">
        <v>0</v>
      </c>
      <c r="E173" s="162">
        <f>SUM(E162:AD162)</f>
        <v>17294.68535859328</v>
      </c>
      <c r="F173" s="162">
        <f>E173/'Key_Assumptions_&amp;_Inputs'!$E$18/1000</f>
        <v>1.2265734296874668E-2</v>
      </c>
      <c r="H173" s="84"/>
    </row>
    <row r="174" spans="2:31" x14ac:dyDescent="0.25">
      <c r="C174" s="150" t="s">
        <v>14</v>
      </c>
      <c r="D174" s="157" t="s">
        <v>0</v>
      </c>
      <c r="E174" s="162">
        <f>E173+E172</f>
        <v>9014.6853585932822</v>
      </c>
      <c r="F174" s="162">
        <f>E174/'Key_Assumptions_&amp;_Inputs'!$E$18/1000</f>
        <v>6.393393871342753E-3</v>
      </c>
    </row>
    <row r="175" spans="2:31" x14ac:dyDescent="0.25">
      <c r="C175" s="150" t="s">
        <v>15</v>
      </c>
      <c r="D175" s="157" t="s">
        <v>0</v>
      </c>
      <c r="E175" s="162">
        <f>E164+NPV('Key_Assumptions_&amp;_Inputs'!E65,F164:AD164)</f>
        <v>2805.7231297289054</v>
      </c>
      <c r="F175" s="162">
        <f>E175/'Key_Assumptions_&amp;_Inputs'!$E$18/1000</f>
        <v>1.9898745600914224E-3</v>
      </c>
      <c r="G175" s="75"/>
    </row>
    <row r="176" spans="2:31" x14ac:dyDescent="0.25">
      <c r="C176" s="150" t="s">
        <v>23</v>
      </c>
      <c r="D176" s="157" t="s">
        <v>5</v>
      </c>
      <c r="E176" s="160" t="e">
        <f>IRR(F164:AD164)</f>
        <v>#NUM!</v>
      </c>
      <c r="F176" s="160" t="s">
        <v>181</v>
      </c>
    </row>
    <row r="177" spans="3:6" x14ac:dyDescent="0.25">
      <c r="C177" s="150" t="s">
        <v>83</v>
      </c>
      <c r="D177" s="157" t="s">
        <v>5</v>
      </c>
      <c r="E177" s="160" t="e">
        <f>MIRR(E164:AD164,0,'Key_Assumptions_&amp;_Inputs'!E99)</f>
        <v>#DIV/0!</v>
      </c>
      <c r="F177" s="160" t="s">
        <v>181</v>
      </c>
    </row>
    <row r="178" spans="3:6" x14ac:dyDescent="0.25">
      <c r="C178" s="150" t="s">
        <v>22</v>
      </c>
      <c r="D178" s="157" t="s">
        <v>5</v>
      </c>
      <c r="E178" s="160">
        <f>E174/(-E172)</f>
        <v>1.0887301157721359</v>
      </c>
      <c r="F178" s="160" t="s">
        <v>181</v>
      </c>
    </row>
    <row r="179" spans="3:6" x14ac:dyDescent="0.25">
      <c r="C179" s="150" t="s">
        <v>18</v>
      </c>
      <c r="D179" s="157" t="s">
        <v>4</v>
      </c>
      <c r="E179" s="161">
        <f>E166</f>
        <v>0</v>
      </c>
      <c r="F179" s="160" t="s">
        <v>181</v>
      </c>
    </row>
  </sheetData>
  <dataConsolidate/>
  <mergeCells count="11">
    <mergeCell ref="B147:D147"/>
    <mergeCell ref="A1:D4"/>
    <mergeCell ref="B18:D18"/>
    <mergeCell ref="B113:D113"/>
    <mergeCell ref="B15:C15"/>
    <mergeCell ref="B10:D10"/>
    <mergeCell ref="B11:C11"/>
    <mergeCell ref="B12:C12"/>
    <mergeCell ref="B13:C13"/>
    <mergeCell ref="B14:C14"/>
    <mergeCell ref="B77:D7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5">
    <tabColor rgb="FF002060"/>
  </sheetPr>
  <dimension ref="A1:L75"/>
  <sheetViews>
    <sheetView tabSelected="1" zoomScale="85" zoomScaleNormal="85" workbookViewId="0">
      <selection activeCell="H22" sqref="H22"/>
    </sheetView>
  </sheetViews>
  <sheetFormatPr defaultColWidth="9.140625" defaultRowHeight="12.75" x14ac:dyDescent="0.2"/>
  <cols>
    <col min="1" max="1" width="4.140625" style="9" customWidth="1"/>
    <col min="2" max="2" width="32.5703125" style="9" bestFit="1" customWidth="1"/>
    <col min="3" max="3" width="30.7109375" style="9" customWidth="1"/>
    <col min="4" max="6" width="29.5703125" style="9" customWidth="1"/>
    <col min="7" max="7" width="29.28515625" style="9" customWidth="1"/>
    <col min="8" max="9" width="16.42578125" style="9" bestFit="1" customWidth="1"/>
    <col min="10" max="10" width="11.28515625" style="9" customWidth="1"/>
    <col min="11" max="11" width="8.140625" style="9" bestFit="1" customWidth="1"/>
    <col min="12" max="12" width="10.7109375" style="9" customWidth="1"/>
    <col min="13" max="13" width="9" style="9" customWidth="1"/>
    <col min="14" max="27" width="16.42578125" style="9" bestFit="1" customWidth="1"/>
    <col min="28" max="16384" width="9.140625" style="9"/>
  </cols>
  <sheetData>
    <row r="1" spans="1:7" ht="17.25" customHeight="1" x14ac:dyDescent="0.2">
      <c r="A1" s="798" t="s">
        <v>250</v>
      </c>
      <c r="B1" s="799"/>
      <c r="C1" s="799"/>
      <c r="D1" s="799"/>
      <c r="E1" s="800"/>
    </row>
    <row r="2" spans="1:7" ht="14.25" customHeight="1" x14ac:dyDescent="0.2">
      <c r="A2" s="801"/>
      <c r="B2" s="802"/>
      <c r="C2" s="802"/>
      <c r="D2" s="802"/>
      <c r="E2" s="803"/>
    </row>
    <row r="3" spans="1:7" ht="15" customHeight="1" x14ac:dyDescent="0.2">
      <c r="A3" s="801"/>
      <c r="B3" s="802"/>
      <c r="C3" s="802"/>
      <c r="D3" s="802"/>
      <c r="E3" s="803"/>
    </row>
    <row r="4" spans="1:7" ht="13.5" customHeight="1" thickBot="1" x14ac:dyDescent="0.25">
      <c r="A4" s="804"/>
      <c r="B4" s="805"/>
      <c r="C4" s="805"/>
      <c r="D4" s="805"/>
      <c r="E4" s="806"/>
    </row>
    <row r="5" spans="1:7" ht="18.75" customHeight="1" x14ac:dyDescent="0.3">
      <c r="A5" s="8"/>
      <c r="B5" s="8"/>
      <c r="C5" s="8"/>
      <c r="D5" s="8"/>
      <c r="E5" s="8"/>
    </row>
    <row r="6" spans="1:7" ht="21" x14ac:dyDescent="0.4">
      <c r="A6" s="6" t="s">
        <v>94</v>
      </c>
    </row>
    <row r="7" spans="1:7" ht="16.149999999999999" thickBot="1" x14ac:dyDescent="0.35">
      <c r="B7" s="46"/>
      <c r="C7" s="47"/>
      <c r="D7" s="47"/>
      <c r="E7" s="47"/>
      <c r="F7" s="47"/>
    </row>
    <row r="8" spans="1:7" ht="12.75" customHeight="1" thickBot="1" x14ac:dyDescent="0.35">
      <c r="B8" s="807" t="s">
        <v>96</v>
      </c>
      <c r="C8" s="808"/>
      <c r="D8" s="47"/>
      <c r="E8" s="47"/>
      <c r="F8" s="47"/>
    </row>
    <row r="9" spans="1:7" ht="15.6" x14ac:dyDescent="0.3">
      <c r="B9" s="69" t="s">
        <v>81</v>
      </c>
      <c r="C9" s="593">
        <f>Community_Solar_Business_Case!E71</f>
        <v>0.16138979701593636</v>
      </c>
      <c r="D9" s="47"/>
      <c r="E9" s="47"/>
      <c r="F9" s="47"/>
    </row>
    <row r="10" spans="1:7" ht="15.6" x14ac:dyDescent="0.3">
      <c r="B10" s="48" t="s">
        <v>84</v>
      </c>
      <c r="C10" s="49" t="str">
        <f>IF('Key_Assumptions_&amp;_Inputs'!E11="Panel Leasing","N/A",'Key_Assumptions_&amp;_Inputs'!E12)</f>
        <v>N/A</v>
      </c>
      <c r="D10" s="47"/>
      <c r="E10" s="47"/>
      <c r="F10" s="47"/>
    </row>
    <row r="11" spans="1:7" ht="16.149999999999999" thickBot="1" x14ac:dyDescent="0.35">
      <c r="B11" s="50" t="s">
        <v>85</v>
      </c>
      <c r="C11" s="164">
        <f>IF('Key_Assumptions_&amp;_Inputs'!E11="Panel Purchasing","N/A",'Key_Assumptions_&amp;_Inputs'!E12)</f>
        <v>1.38</v>
      </c>
      <c r="D11" s="47"/>
      <c r="E11" s="60"/>
      <c r="F11" s="47"/>
    </row>
    <row r="12" spans="1:7" ht="16.5" thickBot="1" x14ac:dyDescent="0.3">
      <c r="B12" s="47"/>
      <c r="C12" s="61"/>
      <c r="D12" s="47"/>
      <c r="E12" s="320"/>
      <c r="F12" s="47"/>
    </row>
    <row r="13" spans="1:7" ht="15.75" x14ac:dyDescent="0.25">
      <c r="B13" s="51" t="s">
        <v>95</v>
      </c>
      <c r="C13" s="52"/>
      <c r="D13" s="62" t="s">
        <v>80</v>
      </c>
      <c r="E13" s="62" t="s">
        <v>295</v>
      </c>
      <c r="F13" s="63" t="s">
        <v>296</v>
      </c>
      <c r="G13" s="63" t="s">
        <v>314</v>
      </c>
    </row>
    <row r="14" spans="1:7" ht="15.75" x14ac:dyDescent="0.25">
      <c r="B14" s="53" t="s">
        <v>88</v>
      </c>
      <c r="C14" s="436" t="s">
        <v>0</v>
      </c>
      <c r="D14" s="437">
        <f>Community_Solar_Business_Case!E67</f>
        <v>-3546386.4819535594</v>
      </c>
      <c r="E14" s="438">
        <f>Community_Solar_Business_Case!E137</f>
        <v>-8279.9999999999982</v>
      </c>
      <c r="F14" s="49">
        <f>Community_Solar_Business_Case!E172</f>
        <v>-8279.9999999999982</v>
      </c>
      <c r="G14" s="49">
        <f>Community_Solar_Business_Case!E102</f>
        <v>-534890.32258064533</v>
      </c>
    </row>
    <row r="15" spans="1:7" ht="15.75" x14ac:dyDescent="0.25">
      <c r="B15" s="53" t="s">
        <v>87</v>
      </c>
      <c r="C15" s="436" t="s">
        <v>0</v>
      </c>
      <c r="D15" s="437">
        <f>Community_Solar_Business_Case!E68</f>
        <v>4712589.0781693552</v>
      </c>
      <c r="E15" s="439">
        <f>Community_Solar_Business_Case!E138</f>
        <v>13154.685358593277</v>
      </c>
      <c r="F15" s="49">
        <f>Community_Solar_Business_Case!E173</f>
        <v>17294.68535859328</v>
      </c>
      <c r="G15" s="49">
        <f>Community_Solar_Business_Case!E103</f>
        <v>1000930.9387038815</v>
      </c>
    </row>
    <row r="16" spans="1:7" ht="15.75" x14ac:dyDescent="0.25">
      <c r="B16" s="53" t="s">
        <v>86</v>
      </c>
      <c r="C16" s="436" t="s">
        <v>0</v>
      </c>
      <c r="D16" s="437">
        <f>Community_Solar_Business_Case!E69</f>
        <v>1166202.5962157957</v>
      </c>
      <c r="E16" s="439">
        <f>Community_Solar_Business_Case!E139</f>
        <v>4874.6853585932786</v>
      </c>
      <c r="F16" s="49">
        <f>Community_Solar_Business_Case!E174</f>
        <v>9014.6853585932822</v>
      </c>
      <c r="G16" s="49">
        <f>Community_Solar_Business_Case!E104</f>
        <v>466040.61612323613</v>
      </c>
    </row>
    <row r="17" spans="2:12" ht="15.75" x14ac:dyDescent="0.25">
      <c r="B17" s="53" t="s">
        <v>97</v>
      </c>
      <c r="C17" s="436" t="s">
        <v>0</v>
      </c>
      <c r="D17" s="437">
        <f>Community_Solar_Business_Case!E70</f>
        <v>404122.22435043496</v>
      </c>
      <c r="E17" s="439">
        <f>Community_Solar_Business_Case!E140</f>
        <v>1302.5653027101241</v>
      </c>
      <c r="F17" s="49">
        <f>Community_Solar_Business_Case!E175</f>
        <v>2805.7231297289054</v>
      </c>
      <c r="G17" s="49">
        <f>Community_Solar_Business_Case!E105</f>
        <v>105859.72020278299</v>
      </c>
    </row>
    <row r="18" spans="2:12" ht="15.75" x14ac:dyDescent="0.25">
      <c r="B18" s="53" t="s">
        <v>89</v>
      </c>
      <c r="C18" s="436" t="s">
        <v>5</v>
      </c>
      <c r="D18" s="594">
        <f>Community_Solar_Business_Case!E73</f>
        <v>0.32884249986577391</v>
      </c>
      <c r="E18" s="440">
        <f>Community_Solar_Business_Case!E143</f>
        <v>0.58873011577213519</v>
      </c>
      <c r="F18" s="443">
        <f>Community_Solar_Business_Case!E178</f>
        <v>1.0887301157721359</v>
      </c>
      <c r="G18" s="443" t="e">
        <f>Community_Solar_Business_Case!E106</f>
        <v>#NUM!</v>
      </c>
    </row>
    <row r="19" spans="2:12" ht="15.75" x14ac:dyDescent="0.25">
      <c r="B19" s="53" t="s">
        <v>220</v>
      </c>
      <c r="C19" s="436" t="s">
        <v>0</v>
      </c>
      <c r="D19" s="441" t="s">
        <v>181</v>
      </c>
      <c r="E19" s="442">
        <f>Community_Solar_Business_Case!F129</f>
        <v>66.845668479171081</v>
      </c>
      <c r="F19" s="446">
        <f>Community_Solar_Business_Case!F164</f>
        <v>232.44566847917105</v>
      </c>
      <c r="G19" s="446">
        <f>Community_Solar_Business_Case!F94</f>
        <v>10352.579857974208</v>
      </c>
      <c r="H19" s="9">
        <v>15642</v>
      </c>
    </row>
    <row r="20" spans="2:12" ht="16.5" thickBot="1" x14ac:dyDescent="0.3">
      <c r="B20" s="54" t="s">
        <v>90</v>
      </c>
      <c r="C20" s="55" t="s">
        <v>4</v>
      </c>
      <c r="D20" s="56">
        <f>Community_Solar_Business_Case!E74</f>
        <v>3.3432934974631787</v>
      </c>
      <c r="E20" s="444">
        <f>Community_Solar_Business_Case!E144</f>
        <v>0</v>
      </c>
      <c r="F20" s="445">
        <f>Community_Solar_Business_Case!E179</f>
        <v>0</v>
      </c>
      <c r="G20" s="445">
        <f>Community_Solar_Business_Case!E109</f>
        <v>0</v>
      </c>
      <c r="H20" s="9">
        <f>H19/12</f>
        <v>1303.5</v>
      </c>
    </row>
    <row r="21" spans="2:12" ht="15.75" x14ac:dyDescent="0.25">
      <c r="B21" s="47"/>
      <c r="C21" s="47"/>
      <c r="D21" s="47"/>
      <c r="E21" s="320"/>
      <c r="F21" s="47"/>
    </row>
    <row r="22" spans="2:12" ht="13.9" x14ac:dyDescent="0.3">
      <c r="E22" s="321"/>
      <c r="H22" s="8"/>
      <c r="I22" s="8"/>
      <c r="J22" s="8"/>
      <c r="K22" s="8"/>
      <c r="L22" s="8"/>
    </row>
    <row r="23" spans="2:12" ht="13.9" x14ac:dyDescent="0.3">
      <c r="H23" s="8"/>
      <c r="I23" s="8"/>
      <c r="J23" s="8"/>
      <c r="K23" s="8"/>
      <c r="L23" s="8"/>
    </row>
    <row r="24" spans="2:12" ht="13.9" x14ac:dyDescent="0.3">
      <c r="H24" s="8"/>
      <c r="I24" s="8"/>
      <c r="J24" s="8"/>
      <c r="K24" s="8"/>
      <c r="L24" s="8"/>
    </row>
    <row r="25" spans="2:12" ht="13.9" x14ac:dyDescent="0.3">
      <c r="H25" s="8"/>
      <c r="I25" s="8"/>
      <c r="J25" s="8"/>
      <c r="K25" s="8"/>
      <c r="L25" s="8"/>
    </row>
    <row r="26" spans="2:12" ht="13.9" x14ac:dyDescent="0.3">
      <c r="H26" s="8"/>
      <c r="I26" s="8"/>
      <c r="J26" s="8"/>
      <c r="K26" s="8"/>
      <c r="L26" s="8"/>
    </row>
    <row r="27" spans="2:12" ht="13.9" x14ac:dyDescent="0.3">
      <c r="H27" s="8"/>
      <c r="I27" s="8"/>
      <c r="J27" s="8"/>
      <c r="K27" s="8"/>
      <c r="L27" s="8"/>
    </row>
    <row r="28" spans="2:12" ht="13.9" x14ac:dyDescent="0.3">
      <c r="H28" s="8"/>
      <c r="I28" s="8"/>
      <c r="J28" s="8"/>
      <c r="K28" s="8"/>
      <c r="L28" s="8"/>
    </row>
    <row r="29" spans="2:12" ht="13.9" x14ac:dyDescent="0.3">
      <c r="E29" s="321"/>
      <c r="H29" s="8"/>
      <c r="I29" s="8"/>
      <c r="J29" s="322"/>
      <c r="K29" s="8"/>
      <c r="L29" s="8"/>
    </row>
    <row r="30" spans="2:12" ht="13.9" x14ac:dyDescent="0.3">
      <c r="E30" s="321"/>
      <c r="H30" s="8"/>
      <c r="I30" s="8"/>
      <c r="J30" s="322"/>
      <c r="K30" s="8"/>
      <c r="L30" s="8"/>
    </row>
    <row r="31" spans="2:12" ht="13.9" x14ac:dyDescent="0.3">
      <c r="E31" s="321"/>
      <c r="H31" s="8"/>
      <c r="I31" s="8"/>
      <c r="J31" s="322"/>
      <c r="K31" s="8"/>
      <c r="L31" s="8"/>
    </row>
    <row r="32" spans="2:12" ht="13.9" x14ac:dyDescent="0.3">
      <c r="H32" s="8"/>
      <c r="I32" s="8"/>
      <c r="J32" s="322"/>
      <c r="K32" s="8"/>
      <c r="L32" s="8"/>
    </row>
    <row r="33" spans="1:12" ht="13.9" x14ac:dyDescent="0.3">
      <c r="E33" s="321"/>
      <c r="H33" s="8"/>
      <c r="I33" s="8"/>
      <c r="J33" s="322"/>
      <c r="K33" s="8"/>
      <c r="L33" s="8"/>
    </row>
    <row r="34" spans="1:12" ht="13.9" x14ac:dyDescent="0.3">
      <c r="H34" s="8"/>
      <c r="I34" s="8"/>
      <c r="J34" s="322"/>
      <c r="K34" s="8"/>
      <c r="L34" s="8"/>
    </row>
    <row r="35" spans="1:12" x14ac:dyDescent="0.2">
      <c r="H35" s="8"/>
      <c r="I35" s="8"/>
      <c r="J35" s="322"/>
      <c r="K35" s="8"/>
      <c r="L35" s="8"/>
    </row>
    <row r="36" spans="1:12" x14ac:dyDescent="0.2">
      <c r="H36" s="8"/>
      <c r="I36" s="8"/>
      <c r="J36" s="322"/>
      <c r="K36" s="8"/>
      <c r="L36" s="8"/>
    </row>
    <row r="37" spans="1:12" x14ac:dyDescent="0.2">
      <c r="D37" s="321"/>
      <c r="E37" s="321"/>
      <c r="H37" s="8"/>
      <c r="I37" s="8"/>
      <c r="J37" s="322"/>
      <c r="K37" s="8"/>
      <c r="L37" s="8"/>
    </row>
    <row r="38" spans="1:12" x14ac:dyDescent="0.2">
      <c r="D38" s="321"/>
      <c r="E38" s="321"/>
      <c r="H38" s="8"/>
      <c r="I38" s="8"/>
      <c r="J38" s="8"/>
      <c r="K38" s="8"/>
      <c r="L38" s="8"/>
    </row>
    <row r="39" spans="1:12" x14ac:dyDescent="0.2">
      <c r="D39" s="321"/>
      <c r="E39" s="321"/>
    </row>
    <row r="40" spans="1:12" ht="12.75" customHeight="1" x14ac:dyDescent="0.2">
      <c r="D40" s="321"/>
      <c r="E40" s="321"/>
    </row>
    <row r="41" spans="1:12" x14ac:dyDescent="0.2">
      <c r="D41" s="321"/>
      <c r="E41" s="321"/>
    </row>
    <row r="42" spans="1:12" ht="13.5" customHeight="1" x14ac:dyDescent="0.2">
      <c r="D42" s="321"/>
      <c r="E42" s="321"/>
    </row>
    <row r="43" spans="1:12" x14ac:dyDescent="0.2">
      <c r="D43" s="321"/>
      <c r="E43" s="321"/>
      <c r="H43" s="809"/>
      <c r="I43" s="809"/>
      <c r="J43" s="809"/>
    </row>
    <row r="44" spans="1:12" x14ac:dyDescent="0.2">
      <c r="D44" s="321"/>
      <c r="E44" s="321"/>
      <c r="J44" s="323"/>
    </row>
    <row r="45" spans="1:12" x14ac:dyDescent="0.2">
      <c r="A45" s="8"/>
      <c r="D45" s="321"/>
      <c r="E45" s="321"/>
    </row>
    <row r="46" spans="1:12" x14ac:dyDescent="0.2">
      <c r="D46" s="321"/>
      <c r="E46" s="321"/>
    </row>
    <row r="47" spans="1:12" x14ac:dyDescent="0.2">
      <c r="D47" s="321"/>
      <c r="E47" s="321"/>
      <c r="J47" s="321"/>
    </row>
    <row r="48" spans="1:12" x14ac:dyDescent="0.2">
      <c r="D48" s="321"/>
      <c r="E48" s="321"/>
    </row>
    <row r="52" spans="2:10" x14ac:dyDescent="0.2">
      <c r="E52" s="321"/>
    </row>
    <row r="57" spans="2:10" x14ac:dyDescent="0.2">
      <c r="B57" s="797" t="s">
        <v>297</v>
      </c>
      <c r="C57" s="797"/>
      <c r="J57" s="321"/>
    </row>
    <row r="58" spans="2:10" x14ac:dyDescent="0.2">
      <c r="B58" s="797"/>
      <c r="C58" s="797"/>
      <c r="E58" s="321"/>
      <c r="J58" s="321"/>
    </row>
    <row r="59" spans="2:10" x14ac:dyDescent="0.2">
      <c r="B59" s="797"/>
      <c r="C59" s="797"/>
      <c r="E59" s="321"/>
      <c r="J59" s="321"/>
    </row>
    <row r="60" spans="2:10" ht="12.75" customHeight="1" x14ac:dyDescent="0.2">
      <c r="B60" s="448">
        <v>0.28579779590615095</v>
      </c>
      <c r="C60" s="246" t="s">
        <v>208</v>
      </c>
      <c r="D60" s="447"/>
      <c r="E60" s="447"/>
      <c r="F60" s="447"/>
      <c r="G60" s="447"/>
      <c r="J60" s="321"/>
    </row>
    <row r="61" spans="2:10" x14ac:dyDescent="0.2">
      <c r="D61" s="447"/>
      <c r="E61" s="447"/>
      <c r="F61" s="447"/>
      <c r="G61" s="447"/>
      <c r="J61" s="321"/>
    </row>
    <row r="62" spans="2:10" x14ac:dyDescent="0.2">
      <c r="D62" s="447"/>
      <c r="E62" s="447"/>
      <c r="F62" s="447"/>
      <c r="G62" s="447"/>
      <c r="J62" s="321"/>
    </row>
    <row r="63" spans="2:10" x14ac:dyDescent="0.2">
      <c r="D63" s="324"/>
      <c r="G63" s="245"/>
      <c r="J63" s="321"/>
    </row>
    <row r="64" spans="2:10" x14ac:dyDescent="0.2">
      <c r="E64" s="321"/>
      <c r="J64" s="321"/>
    </row>
    <row r="65" spans="4:10" x14ac:dyDescent="0.2">
      <c r="E65" s="321"/>
      <c r="J65" s="321"/>
    </row>
    <row r="66" spans="4:10" x14ac:dyDescent="0.2">
      <c r="E66" s="321"/>
    </row>
    <row r="71" spans="4:10" x14ac:dyDescent="0.2">
      <c r="J71" s="321"/>
    </row>
    <row r="72" spans="4:10" x14ac:dyDescent="0.2">
      <c r="D72" s="321"/>
      <c r="E72" s="321"/>
      <c r="J72" s="321"/>
    </row>
    <row r="73" spans="4:10" x14ac:dyDescent="0.2">
      <c r="D73" s="321"/>
      <c r="E73" s="321"/>
      <c r="J73" s="321"/>
    </row>
    <row r="74" spans="4:10" x14ac:dyDescent="0.2">
      <c r="D74" s="321"/>
      <c r="E74" s="321"/>
      <c r="J74" s="321"/>
    </row>
    <row r="75" spans="4:10" x14ac:dyDescent="0.2">
      <c r="J75" s="321"/>
    </row>
  </sheetData>
  <mergeCells count="4">
    <mergeCell ref="B57:C59"/>
    <mergeCell ref="A1:E4"/>
    <mergeCell ref="B8:C8"/>
    <mergeCell ref="H43:J43"/>
  </mergeCells>
  <pageMargins left="0.7" right="0.7" top="0.75" bottom="0.75" header="0.3" footer="0.3"/>
  <pageSetup orientation="portrait" r:id="rId1"/>
  <cellWatches>
    <cellWatch r="D14"/>
    <cellWatch r="E14"/>
    <cellWatch r="D15"/>
    <cellWatch r="E15"/>
    <cellWatch r="D16"/>
    <cellWatch r="E16"/>
    <cellWatch r="D17"/>
    <cellWatch r="E17"/>
    <cellWatch r="D18"/>
    <cellWatch r="E18"/>
    <cellWatch r="D20"/>
    <cellWatch r="E20"/>
  </cellWatch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4BC0E217966A4D9D286C5801D25760" ma:contentTypeVersion="4" ma:contentTypeDescription="Create a new document." ma:contentTypeScope="" ma:versionID="da0804d7039ca0a07d22856a1350b80a">
  <xsd:schema xmlns:xsd="http://www.w3.org/2001/XMLSchema" xmlns:xs="http://www.w3.org/2001/XMLSchema" xmlns:p="http://schemas.microsoft.com/office/2006/metadata/properties" xmlns:ns2="e5f54c46-1ca0-4726-8081-e90bf53cac34" xmlns:ns3="214d554c-cd01-41cc-9a84-6500fb59f7b4" targetNamespace="http://schemas.microsoft.com/office/2006/metadata/properties" ma:root="true" ma:fieldsID="36376db717ba1c4fbad566a5b11401c6" ns2:_="" ns3:_="">
    <xsd:import namespace="e5f54c46-1ca0-4726-8081-e90bf53cac34"/>
    <xsd:import namespace="214d554c-cd01-41cc-9a84-6500fb59f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54c46-1ca0-4726-8081-e90bf53cac3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4d554c-cd01-41cc-9a84-6500fb59f7b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8EF843-A2C6-4A44-8D92-B1C36D1E3A9A}">
  <ds:schemaRefs>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b3a0ce1b-1d07-4f40-81f5-76aede0d523e"/>
    <ds:schemaRef ds:uri="http://www.w3.org/XML/1998/namespace"/>
  </ds:schemaRefs>
</ds:datastoreItem>
</file>

<file path=customXml/itemProps2.xml><?xml version="1.0" encoding="utf-8"?>
<ds:datastoreItem xmlns:ds="http://schemas.openxmlformats.org/officeDocument/2006/customXml" ds:itemID="{7A9F0B87-FCC7-4348-A715-FB80A6652683}"/>
</file>

<file path=customXml/itemProps3.xml><?xml version="1.0" encoding="utf-8"?>
<ds:datastoreItem xmlns:ds="http://schemas.openxmlformats.org/officeDocument/2006/customXml" ds:itemID="{C0329ACB-8ADE-4792-BCD7-1190C9993B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Start!</vt:lpstr>
      <vt:lpstr>Version_History</vt:lpstr>
      <vt:lpstr>Key_Assumptions_&amp;_Inputs</vt:lpstr>
      <vt:lpstr>Admin_&amp;_Transaction_Costs</vt:lpstr>
      <vt:lpstr>Generation_Rates</vt:lpstr>
      <vt:lpstr>Community_Solar_Business_Case</vt:lpstr>
      <vt:lpstr>Dashboard</vt:lpstr>
      <vt:lpstr>Community_Solar_Business_Case!_ftn2</vt:lpstr>
      <vt:lpstr>CapacityFactor</vt:lpstr>
      <vt:lpstr>City</vt:lpstr>
      <vt:lpstr>InverterEfficiency</vt:lpstr>
      <vt:lpstr>Losses</vt:lpstr>
      <vt:lpstr>State</vt:lpstr>
    </vt:vector>
  </TitlesOfParts>
  <Company>West Monroe Partners,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PV BC Tool</dc:title>
  <dc:creator>paugustine@westmonroepartners.com</dc:creator>
  <cp:lastModifiedBy>Vito Greco</cp:lastModifiedBy>
  <dcterms:created xsi:type="dcterms:W3CDTF">2012-03-20T12:56:10Z</dcterms:created>
  <dcterms:modified xsi:type="dcterms:W3CDTF">2017-10-04T21:36:47Z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0x010100AD4BC0E217966A4D9D286C5801D25760</vt:lpwstr>
  </property>
</Properties>
</file>